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80" windowHeight="8220" tabRatio="794" activeTab="1"/>
  </bookViews>
  <sheets>
    <sheet name="Inputs" sheetId="3" r:id="rId1"/>
    <sheet name="OBJ" sheetId="2" r:id="rId2"/>
    <sheet name="Travel" sheetId="14" r:id="rId3"/>
    <sheet name="Bars" sheetId="15" r:id="rId4"/>
    <sheet name="Air" sheetId="16" r:id="rId5"/>
    <sheet name="Movies" sheetId="17" r:id="rId6"/>
    <sheet name="Safety" sheetId="10" r:id="rId7"/>
    <sheet name="Hospitals" sheetId="11" r:id="rId8"/>
    <sheet name="Culture" sheetId="12" r:id="rId9"/>
    <sheet name="Shops" sheetId="13" r:id="rId10"/>
    <sheet name="Housing" sheetId="1" r:id="rId11"/>
    <sheet name="Exit" sheetId="4" r:id="rId12"/>
    <sheet name="Schools" sheetId="20" r:id="rId13"/>
    <sheet name="Grocery" sheetId="5" r:id="rId14"/>
    <sheet name="Gym" sheetId="6" r:id="rId15"/>
    <sheet name="Parks" sheetId="7" r:id="rId16"/>
    <sheet name="Parking" sheetId="8" r:id="rId17"/>
    <sheet name="Size" sheetId="9" r:id="rId18"/>
  </sheets>
  <definedNames>
    <definedName name="solver_adj" localSheetId="1" hidden="1">OBJ!$C$2:$C$4</definedName>
    <definedName name="solver_cvg" localSheetId="1" hidden="1">0.0001</definedName>
    <definedName name="solver_drv" localSheetId="1" hidden="1">1</definedName>
    <definedName name="solver_eng" localSheetId="1" hidden="1">3</definedName>
    <definedName name="solver_est" localSheetId="1" hidden="1">1</definedName>
    <definedName name="solver_ibd" localSheetId="1" hidden="1">2</definedName>
    <definedName name="solver_itr" localSheetId="1" hidden="1">100</definedName>
    <definedName name="solver_lhs1" localSheetId="1" hidden="1">OBJ!$C$28</definedName>
    <definedName name="solver_lhs2" localSheetId="1" hidden="1">OBJ!$C$2:$C$4</definedName>
    <definedName name="solver_lhs3" localSheetId="1" hidden="1">OBJ!$C$2:$C$4</definedName>
    <definedName name="solver_lhs4" localSheetId="1" hidden="1">OBJ!$D$28</definedName>
    <definedName name="solver_lin" localSheetId="1" hidden="1">2</definedName>
    <definedName name="solver_lva" localSheetId="1" hidden="1">2</definedName>
    <definedName name="solver_mip" localSheetId="1" hidden="1">1000</definedName>
    <definedName name="solver_mni" localSheetId="1" hidden="1">30</definedName>
    <definedName name="solver_mrt" localSheetId="1" hidden="1">0.075</definedName>
    <definedName name="solver_neg" localSheetId="1" hidden="1">1</definedName>
    <definedName name="solver_nod" localSheetId="1" hidden="1">1000</definedName>
    <definedName name="solver_num" localSheetId="1" hidden="1">4</definedName>
    <definedName name="solver_nwt" localSheetId="1" hidden="1">1</definedName>
    <definedName name="solver_ofx" localSheetId="1" hidden="1">2</definedName>
    <definedName name="solver_opt" localSheetId="1" hidden="1">OBJ!$F$28</definedName>
    <definedName name="solver_pre" localSheetId="1" hidden="1">0.1</definedName>
    <definedName name="solver_pro" localSheetId="1" hidden="1">2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el3" localSheetId="1" hidden="1">4</definedName>
    <definedName name="solver_rel4" localSheetId="1" hidden="1">3</definedName>
    <definedName name="solver_reo" localSheetId="1" hidden="1">2</definedName>
    <definedName name="solver_rep" localSheetId="1" hidden="1">2</definedName>
    <definedName name="solver_rhs1" localSheetId="1" hidden="1">OBJ!$D$28</definedName>
    <definedName name="solver_rhs2" localSheetId="1" hidden="1">40</definedName>
    <definedName name="solver_rhs3" localSheetId="1" hidden="1">integer</definedName>
    <definedName name="solver_rhs4" localSheetId="1" hidden="1">OBJ!$E$28</definedName>
    <definedName name="solver_rlx" localSheetId="1" hidden="1">2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std" localSheetId="1" hidden="1">0</definedName>
    <definedName name="solver_tim" localSheetId="1" hidden="1">100</definedName>
    <definedName name="solver_tol" localSheetId="1" hidden="1">0.0005</definedName>
    <definedName name="solver_typ" localSheetId="1" hidden="1">1</definedName>
    <definedName name="solver_val" localSheetId="1" hidden="1">0</definedName>
    <definedName name="solver_ver" localSheetId="1" hidden="1">2</definedName>
  </definedNames>
  <calcPr calcId="125725" iterate="1"/>
</workbook>
</file>

<file path=xl/calcChain.xml><?xml version="1.0" encoding="utf-8"?>
<calcChain xmlns="http://schemas.openxmlformats.org/spreadsheetml/2006/main">
  <c r="S19" i="2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I22"/>
  <c r="J22"/>
  <c r="K22"/>
  <c r="L22"/>
  <c r="M22"/>
  <c r="N22"/>
  <c r="O22"/>
  <c r="P22"/>
  <c r="Q22"/>
  <c r="R22"/>
  <c r="H22"/>
  <c r="J19"/>
  <c r="K19"/>
  <c r="L19"/>
  <c r="M19"/>
  <c r="N19"/>
  <c r="O19"/>
  <c r="P19"/>
  <c r="Q19"/>
  <c r="R19"/>
  <c r="I19"/>
  <c r="H19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H17"/>
  <c r="J17"/>
  <c r="K17"/>
  <c r="L17"/>
  <c r="M17"/>
  <c r="N17"/>
  <c r="O17"/>
  <c r="P17"/>
  <c r="Q17"/>
  <c r="R17"/>
  <c r="S17"/>
  <c r="I17"/>
  <c r="H14"/>
  <c r="H23"/>
  <c r="E17"/>
  <c r="D17"/>
  <c r="C23"/>
  <c r="B43" i="13"/>
  <c r="C43" s="1"/>
  <c r="A43"/>
  <c r="B42"/>
  <c r="C42" s="1"/>
  <c r="A42"/>
  <c r="B41"/>
  <c r="C41" s="1"/>
  <c r="A41"/>
  <c r="B43" i="12"/>
  <c r="C43" s="1"/>
  <c r="A43"/>
  <c r="B42"/>
  <c r="C42" s="1"/>
  <c r="A42"/>
  <c r="B41"/>
  <c r="C41" s="1"/>
  <c r="A41"/>
  <c r="C43" i="11"/>
  <c r="B43"/>
  <c r="A43"/>
  <c r="C42"/>
  <c r="B42"/>
  <c r="A42"/>
  <c r="C41"/>
  <c r="B41"/>
  <c r="A41"/>
  <c r="C42" i="10"/>
  <c r="C43"/>
  <c r="C41"/>
  <c r="A42"/>
  <c r="B42"/>
  <c r="A43"/>
  <c r="B43"/>
  <c r="B41"/>
  <c r="A41"/>
  <c r="B51" i="16"/>
  <c r="B52"/>
  <c r="A50"/>
  <c r="K10" i="15"/>
  <c r="K32"/>
  <c r="K20"/>
  <c r="K11"/>
  <c r="K17"/>
  <c r="K23"/>
  <c r="K22"/>
  <c r="D41" i="12" l="1"/>
  <c r="D42"/>
  <c r="D43"/>
  <c r="K2" i="15"/>
  <c r="K1"/>
  <c r="E1" i="1"/>
  <c r="C1"/>
  <c r="E1" i="4"/>
  <c r="D2" s="1"/>
  <c r="E1" i="20"/>
  <c r="D2" s="1"/>
  <c r="H24" i="2" s="1"/>
  <c r="D10" i="4"/>
  <c r="P14" i="2" s="1"/>
  <c r="D11" i="4"/>
  <c r="Q14" i="2" s="1"/>
  <c r="D12" i="4"/>
  <c r="R14" i="2" s="1"/>
  <c r="D13" i="4"/>
  <c r="S14" i="2" s="1"/>
  <c r="D14" i="4"/>
  <c r="T14" i="2" s="1"/>
  <c r="D15" i="4"/>
  <c r="U14" i="2" s="1"/>
  <c r="D16" i="4"/>
  <c r="V14" i="2" s="1"/>
  <c r="D17" i="4"/>
  <c r="W14" i="2" s="1"/>
  <c r="D18" i="4"/>
  <c r="X14" i="2" s="1"/>
  <c r="D19" i="4"/>
  <c r="Y14" i="2" s="1"/>
  <c r="D20" i="4"/>
  <c r="Z14" i="2" s="1"/>
  <c r="D21" i="4"/>
  <c r="AA14" i="2" s="1"/>
  <c r="D22" i="4"/>
  <c r="AB14" i="2" s="1"/>
  <c r="D23" i="4"/>
  <c r="AC14" i="2" s="1"/>
  <c r="D24" i="4"/>
  <c r="AD14" i="2" s="1"/>
  <c r="D25" i="4"/>
  <c r="AE14" i="2" s="1"/>
  <c r="D26" i="4"/>
  <c r="AF14" i="2" s="1"/>
  <c r="D27" i="4"/>
  <c r="AG14" i="2" s="1"/>
  <c r="D28" i="4"/>
  <c r="AH14" i="2" s="1"/>
  <c r="D29" i="4"/>
  <c r="AI14" i="2" s="1"/>
  <c r="D30" i="4"/>
  <c r="AJ14" i="2" s="1"/>
  <c r="D31" i="4"/>
  <c r="AK14" i="2" s="1"/>
  <c r="D32" i="4"/>
  <c r="AL14" i="2" s="1"/>
  <c r="D33" i="4"/>
  <c r="AM14" i="2" s="1"/>
  <c r="D34" i="4"/>
  <c r="AN14" i="2" s="1"/>
  <c r="D35" i="4"/>
  <c r="AO14" i="2" s="1"/>
  <c r="D36" i="4"/>
  <c r="AP14" i="2" s="1"/>
  <c r="K25" i="1"/>
  <c r="K3"/>
  <c r="Q3" s="1"/>
  <c r="J25"/>
  <c r="J3"/>
  <c r="P33" s="1"/>
  <c r="I25"/>
  <c r="I3"/>
  <c r="O3" s="1"/>
  <c r="G15"/>
  <c r="M15" s="1"/>
  <c r="G3"/>
  <c r="M3" s="1"/>
  <c r="J2"/>
  <c r="J4"/>
  <c r="P4" s="1"/>
  <c r="J5"/>
  <c r="J6"/>
  <c r="P6" s="1"/>
  <c r="J7"/>
  <c r="J8"/>
  <c r="P8" s="1"/>
  <c r="J9"/>
  <c r="J10"/>
  <c r="P10" s="1"/>
  <c r="J11"/>
  <c r="J12"/>
  <c r="P12" s="1"/>
  <c r="J13"/>
  <c r="J14"/>
  <c r="P14" s="1"/>
  <c r="J17"/>
  <c r="J18"/>
  <c r="P18" s="1"/>
  <c r="J19"/>
  <c r="J20"/>
  <c r="P20" s="1"/>
  <c r="J21"/>
  <c r="J22"/>
  <c r="P22" s="1"/>
  <c r="J23"/>
  <c r="J24"/>
  <c r="P24" s="1"/>
  <c r="J26"/>
  <c r="J27"/>
  <c r="P27" s="1"/>
  <c r="J29"/>
  <c r="J30"/>
  <c r="P30" s="1"/>
  <c r="J31"/>
  <c r="J32"/>
  <c r="P32" s="1"/>
  <c r="J33"/>
  <c r="J34"/>
  <c r="P34" s="1"/>
  <c r="J35"/>
  <c r="J36"/>
  <c r="P36" s="1"/>
  <c r="I5" i="2"/>
  <c r="J5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AN5" s="1"/>
  <c r="AO5" s="1"/>
  <c r="AP5" s="1"/>
  <c r="B36"/>
  <c r="B37"/>
  <c r="A52" i="16"/>
  <c r="A51"/>
  <c r="A42" i="17"/>
  <c r="A41"/>
  <c r="C6"/>
  <c r="C10"/>
  <c r="C14"/>
  <c r="C18"/>
  <c r="C22"/>
  <c r="C26"/>
  <c r="C30"/>
  <c r="C34"/>
  <c r="C38"/>
  <c r="F2"/>
  <c r="C8" s="1"/>
  <c r="F1"/>
  <c r="C5" s="1"/>
  <c r="A42" i="15"/>
  <c r="A41"/>
  <c r="B3" i="3"/>
  <c r="B27"/>
  <c r="O2" i="15"/>
  <c r="I2"/>
  <c r="L4"/>
  <c r="M4" s="1"/>
  <c r="D2" i="17"/>
  <c r="D6" s="1"/>
  <c r="J25" i="2" s="1"/>
  <c r="D3" i="5"/>
  <c r="E3" s="1"/>
  <c r="F3" s="1"/>
  <c r="E12" i="16"/>
  <c r="D15"/>
  <c r="D16"/>
  <c r="E16" s="1"/>
  <c r="J23" i="2" s="1"/>
  <c r="D17" i="16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14"/>
  <c r="A139" i="14"/>
  <c r="D150"/>
  <c r="A128"/>
  <c r="B147" s="1"/>
  <c r="A129"/>
  <c r="C147" s="1"/>
  <c r="A130"/>
  <c r="D147" s="1"/>
  <c r="A131"/>
  <c r="B148" s="1"/>
  <c r="A132"/>
  <c r="C148" s="1"/>
  <c r="A133"/>
  <c r="D148" s="1"/>
  <c r="A134"/>
  <c r="B149" s="1"/>
  <c r="AK149" s="1"/>
  <c r="A135"/>
  <c r="C149" s="1"/>
  <c r="A136"/>
  <c r="D149" s="1"/>
  <c r="A137"/>
  <c r="B150" s="1"/>
  <c r="A138"/>
  <c r="C150" s="1"/>
  <c r="A127"/>
  <c r="E1" i="8"/>
  <c r="E5" s="1"/>
  <c r="J15" i="2" s="1"/>
  <c r="A39" i="8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"/>
  <c r="J1" i="7"/>
  <c r="A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G1" i="6"/>
  <c r="A39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G1" i="5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9"/>
  <c r="E47" i="20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E48"/>
  <c r="F48"/>
  <c r="E49"/>
  <c r="E52"/>
  <c r="E54"/>
  <c r="F54"/>
  <c r="G44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A38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40" i="15"/>
  <c r="A40" i="17"/>
  <c r="F4" i="15"/>
  <c r="G4" s="1"/>
  <c r="A5"/>
  <c r="F5"/>
  <c r="G5" s="1"/>
  <c r="A6"/>
  <c r="C6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F7"/>
  <c r="G7" s="1"/>
  <c r="F8"/>
  <c r="G8" s="1"/>
  <c r="E9"/>
  <c r="C10"/>
  <c r="E10"/>
  <c r="C11"/>
  <c r="E11"/>
  <c r="F12"/>
  <c r="F10" s="1"/>
  <c r="C13"/>
  <c r="E13"/>
  <c r="E14"/>
  <c r="F14"/>
  <c r="E15"/>
  <c r="F15"/>
  <c r="C16"/>
  <c r="C17"/>
  <c r="E17"/>
  <c r="C18"/>
  <c r="E19"/>
  <c r="E20"/>
  <c r="E32" s="1"/>
  <c r="F21"/>
  <c r="G21" s="1"/>
  <c r="E22"/>
  <c r="F23"/>
  <c r="F11" s="1"/>
  <c r="E24"/>
  <c r="E25"/>
  <c r="E16"/>
  <c r="C26"/>
  <c r="E26"/>
  <c r="C27"/>
  <c r="E27"/>
  <c r="C28"/>
  <c r="E28"/>
  <c r="C29"/>
  <c r="C30"/>
  <c r="E30"/>
  <c r="C31"/>
  <c r="E31"/>
  <c r="C32"/>
  <c r="E33"/>
  <c r="E6"/>
  <c r="C34"/>
  <c r="E34"/>
  <c r="F35"/>
  <c r="F28" s="1"/>
  <c r="F36"/>
  <c r="G36" s="1"/>
  <c r="E37"/>
  <c r="F38"/>
  <c r="F13" s="1"/>
  <c r="A15" i="16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5" i="17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N14" i="14"/>
  <c r="O14"/>
  <c r="P14"/>
  <c r="Q14"/>
  <c r="S14"/>
  <c r="S91" s="1"/>
  <c r="W14"/>
  <c r="X14"/>
  <c r="AC14" s="1"/>
  <c r="AC91" s="1"/>
  <c r="Y14"/>
  <c r="AA14"/>
  <c r="AA91" s="1"/>
  <c r="N15"/>
  <c r="O15"/>
  <c r="P15"/>
  <c r="P92" s="1"/>
  <c r="Q15"/>
  <c r="S15"/>
  <c r="S92" s="1"/>
  <c r="W15"/>
  <c r="Y15"/>
  <c r="AA15"/>
  <c r="N16"/>
  <c r="N93" s="1"/>
  <c r="O16"/>
  <c r="X16"/>
  <c r="P16"/>
  <c r="Q16"/>
  <c r="Q93" s="1"/>
  <c r="S16"/>
  <c r="W16"/>
  <c r="W93" s="1"/>
  <c r="Y16"/>
  <c r="AA16"/>
  <c r="AA93" s="1"/>
  <c r="N17"/>
  <c r="O17"/>
  <c r="P17"/>
  <c r="Q17"/>
  <c r="S17"/>
  <c r="S94" s="1"/>
  <c r="W17"/>
  <c r="Y17"/>
  <c r="AA17"/>
  <c r="N18"/>
  <c r="N95" s="1"/>
  <c r="O18"/>
  <c r="P18"/>
  <c r="P95" s="1"/>
  <c r="Q18"/>
  <c r="S18"/>
  <c r="W18"/>
  <c r="Y18"/>
  <c r="AA18"/>
  <c r="AC18"/>
  <c r="N19"/>
  <c r="O19"/>
  <c r="P19"/>
  <c r="P96" s="1"/>
  <c r="Q19"/>
  <c r="S19"/>
  <c r="S96" s="1"/>
  <c r="W19"/>
  <c r="Y19"/>
  <c r="AA19"/>
  <c r="N20"/>
  <c r="N97" s="1"/>
  <c r="P20"/>
  <c r="Q20"/>
  <c r="Q97" s="1"/>
  <c r="S20"/>
  <c r="W20"/>
  <c r="W97" s="1"/>
  <c r="X20"/>
  <c r="AC20"/>
  <c r="AC97" s="1"/>
  <c r="Y20"/>
  <c r="AA20"/>
  <c r="N21"/>
  <c r="N98" s="1"/>
  <c r="P21"/>
  <c r="Q21"/>
  <c r="S21"/>
  <c r="W21"/>
  <c r="X21"/>
  <c r="AC21"/>
  <c r="AC98" s="1"/>
  <c r="Y21"/>
  <c r="AA21"/>
  <c r="N22"/>
  <c r="N99" s="1"/>
  <c r="P22"/>
  <c r="Q22"/>
  <c r="Q99" s="1"/>
  <c r="S22"/>
  <c r="X22"/>
  <c r="Y22"/>
  <c r="AA22"/>
  <c r="P23"/>
  <c r="Q23"/>
  <c r="S23"/>
  <c r="X23"/>
  <c r="AC23" s="1"/>
  <c r="AC100"/>
  <c r="Y23"/>
  <c r="AA23"/>
  <c r="P24"/>
  <c r="Q24"/>
  <c r="S24"/>
  <c r="W24"/>
  <c r="Y24"/>
  <c r="AA24"/>
  <c r="AC24"/>
  <c r="Q25"/>
  <c r="S25"/>
  <c r="W25"/>
  <c r="Y25"/>
  <c r="AA25"/>
  <c r="AC25"/>
  <c r="S26"/>
  <c r="W26"/>
  <c r="Y26"/>
  <c r="AA26"/>
  <c r="AC26"/>
  <c r="S27"/>
  <c r="W27"/>
  <c r="Y27"/>
  <c r="AA27"/>
  <c r="AC27"/>
  <c r="W28"/>
  <c r="Y28"/>
  <c r="AA28"/>
  <c r="AC28"/>
  <c r="W29"/>
  <c r="Y29"/>
  <c r="AA29"/>
  <c r="AC29"/>
  <c r="W30"/>
  <c r="Y30"/>
  <c r="AA30"/>
  <c r="AC30"/>
  <c r="W31"/>
  <c r="Y31"/>
  <c r="AA31"/>
  <c r="AC31"/>
  <c r="Y32"/>
  <c r="AA32"/>
  <c r="AC32"/>
  <c r="Y33"/>
  <c r="AA33"/>
  <c r="AA34"/>
  <c r="AA35"/>
  <c r="E62"/>
  <c r="F62"/>
  <c r="F100" s="1"/>
  <c r="G62"/>
  <c r="H62"/>
  <c r="H100" s="1"/>
  <c r="I62"/>
  <c r="J62"/>
  <c r="J100" s="1"/>
  <c r="K62"/>
  <c r="L62"/>
  <c r="L100" s="1"/>
  <c r="M62"/>
  <c r="E63"/>
  <c r="E72" s="1"/>
  <c r="F63"/>
  <c r="F72" s="1"/>
  <c r="G63"/>
  <c r="G72" s="1"/>
  <c r="H63"/>
  <c r="H72" s="1"/>
  <c r="I63"/>
  <c r="J63"/>
  <c r="E64"/>
  <c r="E102" s="1"/>
  <c r="F64"/>
  <c r="G64"/>
  <c r="G102" s="1"/>
  <c r="H64"/>
  <c r="I64"/>
  <c r="I102" s="1"/>
  <c r="J64"/>
  <c r="K64"/>
  <c r="K102" s="1"/>
  <c r="L64"/>
  <c r="M64"/>
  <c r="M102" s="1"/>
  <c r="N64"/>
  <c r="O64"/>
  <c r="O102" s="1"/>
  <c r="E65"/>
  <c r="F65"/>
  <c r="G65"/>
  <c r="H65"/>
  <c r="I65"/>
  <c r="J65"/>
  <c r="K65"/>
  <c r="L65"/>
  <c r="M65"/>
  <c r="N65"/>
  <c r="O65"/>
  <c r="P65"/>
  <c r="E67"/>
  <c r="F67"/>
  <c r="G67"/>
  <c r="H67"/>
  <c r="I67"/>
  <c r="J67"/>
  <c r="K67"/>
  <c r="L67"/>
  <c r="M67"/>
  <c r="N67"/>
  <c r="O67"/>
  <c r="P67"/>
  <c r="Q67"/>
  <c r="R67"/>
  <c r="E71"/>
  <c r="F71"/>
  <c r="G71"/>
  <c r="H71"/>
  <c r="I71"/>
  <c r="J71"/>
  <c r="K71"/>
  <c r="L71"/>
  <c r="O71"/>
  <c r="P71"/>
  <c r="Q71"/>
  <c r="R71"/>
  <c r="S71"/>
  <c r="T71"/>
  <c r="U71"/>
  <c r="V71"/>
  <c r="J72"/>
  <c r="K72"/>
  <c r="L72"/>
  <c r="M72"/>
  <c r="N72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I77"/>
  <c r="J77"/>
  <c r="K77"/>
  <c r="L77"/>
  <c r="M77"/>
  <c r="N77"/>
  <c r="O77"/>
  <c r="P77"/>
  <c r="Q77"/>
  <c r="R77"/>
  <c r="S77"/>
  <c r="T77"/>
  <c r="U77"/>
  <c r="V77"/>
  <c r="W77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AD89"/>
  <c r="AE89"/>
  <c r="AF89"/>
  <c r="AG89"/>
  <c r="AH89"/>
  <c r="AI89"/>
  <c r="AJ89"/>
  <c r="AK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AD90"/>
  <c r="AE90"/>
  <c r="AF90"/>
  <c r="AG90"/>
  <c r="AH90"/>
  <c r="AI90"/>
  <c r="AJ90"/>
  <c r="AK90"/>
  <c r="C91"/>
  <c r="D91"/>
  <c r="E91"/>
  <c r="F91"/>
  <c r="G91"/>
  <c r="H91"/>
  <c r="I91"/>
  <c r="J91"/>
  <c r="K91"/>
  <c r="L91"/>
  <c r="M91"/>
  <c r="N91"/>
  <c r="O91"/>
  <c r="P91"/>
  <c r="Q91"/>
  <c r="R91"/>
  <c r="T91"/>
  <c r="U91"/>
  <c r="V91"/>
  <c r="W91"/>
  <c r="X91"/>
  <c r="Y91"/>
  <c r="Z91"/>
  <c r="AB91"/>
  <c r="AD91"/>
  <c r="AE91"/>
  <c r="AF91"/>
  <c r="AG91"/>
  <c r="AH91"/>
  <c r="AI91"/>
  <c r="AJ91"/>
  <c r="AK91"/>
  <c r="C92"/>
  <c r="D92"/>
  <c r="E92"/>
  <c r="F92"/>
  <c r="G92"/>
  <c r="H92"/>
  <c r="I92"/>
  <c r="J92"/>
  <c r="K92"/>
  <c r="L92"/>
  <c r="M92"/>
  <c r="N92"/>
  <c r="Q92"/>
  <c r="R92"/>
  <c r="T92"/>
  <c r="U92"/>
  <c r="V92"/>
  <c r="W92"/>
  <c r="Y92"/>
  <c r="Z92"/>
  <c r="AA92"/>
  <c r="AB92"/>
  <c r="AD92"/>
  <c r="AE92"/>
  <c r="AF92"/>
  <c r="AG92"/>
  <c r="AH92"/>
  <c r="AI92"/>
  <c r="AJ92"/>
  <c r="AK92"/>
  <c r="C93"/>
  <c r="D93"/>
  <c r="E93"/>
  <c r="F93"/>
  <c r="G93"/>
  <c r="H93"/>
  <c r="I93"/>
  <c r="J93"/>
  <c r="K93"/>
  <c r="L93"/>
  <c r="M93"/>
  <c r="O93"/>
  <c r="P93"/>
  <c r="R93"/>
  <c r="S93"/>
  <c r="T93"/>
  <c r="U93"/>
  <c r="V93"/>
  <c r="Y93"/>
  <c r="Z93"/>
  <c r="AB93"/>
  <c r="AD93"/>
  <c r="AE93"/>
  <c r="AF93"/>
  <c r="AG93"/>
  <c r="AH93"/>
  <c r="AI93"/>
  <c r="AJ93"/>
  <c r="AK93"/>
  <c r="C94"/>
  <c r="D94"/>
  <c r="E94"/>
  <c r="F94"/>
  <c r="G94"/>
  <c r="H94"/>
  <c r="I94"/>
  <c r="J94"/>
  <c r="K94"/>
  <c r="L94"/>
  <c r="M94"/>
  <c r="N94"/>
  <c r="P94"/>
  <c r="Q94"/>
  <c r="R94"/>
  <c r="T94"/>
  <c r="U94"/>
  <c r="V94"/>
  <c r="W94"/>
  <c r="Y94"/>
  <c r="Z94"/>
  <c r="AA94"/>
  <c r="AB94"/>
  <c r="AD94"/>
  <c r="AE94"/>
  <c r="AF94"/>
  <c r="AG94"/>
  <c r="AH94"/>
  <c r="AI94"/>
  <c r="AJ94"/>
  <c r="AK94"/>
  <c r="C95"/>
  <c r="D95"/>
  <c r="E95"/>
  <c r="F95"/>
  <c r="G95"/>
  <c r="H95"/>
  <c r="I95"/>
  <c r="J95"/>
  <c r="K95"/>
  <c r="L95"/>
  <c r="M95"/>
  <c r="O95"/>
  <c r="Q95"/>
  <c r="R95"/>
  <c r="S95"/>
  <c r="T95"/>
  <c r="U95"/>
  <c r="V95"/>
  <c r="W95"/>
  <c r="X95"/>
  <c r="Y95"/>
  <c r="Z95"/>
  <c r="AA95"/>
  <c r="AB95"/>
  <c r="AC95"/>
  <c r="AD95"/>
  <c r="AE95"/>
  <c r="AF95"/>
  <c r="AG95"/>
  <c r="AH95"/>
  <c r="AI95"/>
  <c r="AJ95"/>
  <c r="AK95"/>
  <c r="C96"/>
  <c r="D96"/>
  <c r="E96"/>
  <c r="F96"/>
  <c r="G96"/>
  <c r="H96"/>
  <c r="I96"/>
  <c r="J96"/>
  <c r="K96"/>
  <c r="L96"/>
  <c r="M96"/>
  <c r="N96"/>
  <c r="Q96"/>
  <c r="R96"/>
  <c r="T96"/>
  <c r="U96"/>
  <c r="V96"/>
  <c r="W96"/>
  <c r="Y96"/>
  <c r="Z96"/>
  <c r="AA96"/>
  <c r="AB96"/>
  <c r="AD96"/>
  <c r="AE96"/>
  <c r="AF96"/>
  <c r="AG96"/>
  <c r="AH96"/>
  <c r="AI96"/>
  <c r="AJ96"/>
  <c r="AK96"/>
  <c r="C97"/>
  <c r="D97"/>
  <c r="E97"/>
  <c r="F97"/>
  <c r="G97"/>
  <c r="H97"/>
  <c r="I97"/>
  <c r="J97"/>
  <c r="K97"/>
  <c r="L97"/>
  <c r="M97"/>
  <c r="O97"/>
  <c r="P97"/>
  <c r="R97"/>
  <c r="S97"/>
  <c r="T97"/>
  <c r="U97"/>
  <c r="V97"/>
  <c r="X97"/>
  <c r="Y97"/>
  <c r="Z97"/>
  <c r="AA97"/>
  <c r="AB97"/>
  <c r="AD97"/>
  <c r="AE97"/>
  <c r="AF97"/>
  <c r="AG97"/>
  <c r="AH97"/>
  <c r="AI97"/>
  <c r="AJ97"/>
  <c r="AK97"/>
  <c r="C98"/>
  <c r="D98"/>
  <c r="E98"/>
  <c r="F98"/>
  <c r="G98"/>
  <c r="H98"/>
  <c r="I98"/>
  <c r="J98"/>
  <c r="K98"/>
  <c r="L98"/>
  <c r="M98"/>
  <c r="O98"/>
  <c r="P98"/>
  <c r="Q98"/>
  <c r="R98"/>
  <c r="S98"/>
  <c r="T98"/>
  <c r="U98"/>
  <c r="V98"/>
  <c r="W98"/>
  <c r="X98"/>
  <c r="Y98"/>
  <c r="Z98"/>
  <c r="AA98"/>
  <c r="AB98"/>
  <c r="AD98"/>
  <c r="AE98"/>
  <c r="AF98"/>
  <c r="AG98"/>
  <c r="AH98"/>
  <c r="AI98"/>
  <c r="AJ98"/>
  <c r="AK98"/>
  <c r="C99"/>
  <c r="D99"/>
  <c r="E99"/>
  <c r="F99"/>
  <c r="G99"/>
  <c r="H99"/>
  <c r="I99"/>
  <c r="J99"/>
  <c r="K99"/>
  <c r="L99"/>
  <c r="M99"/>
  <c r="O99"/>
  <c r="P99"/>
  <c r="R99"/>
  <c r="S99"/>
  <c r="T99"/>
  <c r="U99"/>
  <c r="V99"/>
  <c r="W99"/>
  <c r="Y99"/>
  <c r="Z99"/>
  <c r="AA99"/>
  <c r="AB99"/>
  <c r="AD99"/>
  <c r="AE99"/>
  <c r="AF99"/>
  <c r="AG99"/>
  <c r="AH99"/>
  <c r="AI99"/>
  <c r="AJ99"/>
  <c r="AK99"/>
  <c r="C100"/>
  <c r="D100"/>
  <c r="E100"/>
  <c r="G100"/>
  <c r="I100"/>
  <c r="K100"/>
  <c r="M100"/>
  <c r="N100"/>
  <c r="O100"/>
  <c r="P100"/>
  <c r="Q100"/>
  <c r="R100"/>
  <c r="S100"/>
  <c r="T100"/>
  <c r="U100"/>
  <c r="V100"/>
  <c r="W100"/>
  <c r="X100"/>
  <c r="Y100"/>
  <c r="Z100"/>
  <c r="AA100"/>
  <c r="AB100"/>
  <c r="AD100"/>
  <c r="AE100"/>
  <c r="AF100"/>
  <c r="AG100"/>
  <c r="AH100"/>
  <c r="AI100"/>
  <c r="AJ100"/>
  <c r="AK100"/>
  <c r="C101"/>
  <c r="D101"/>
  <c r="E101"/>
  <c r="F101"/>
  <c r="G101"/>
  <c r="H101"/>
  <c r="I101"/>
  <c r="J101"/>
  <c r="K101"/>
  <c r="L101"/>
  <c r="M101"/>
  <c r="N101"/>
  <c r="O101"/>
  <c r="P101"/>
  <c r="Q101"/>
  <c r="R101"/>
  <c r="S101"/>
  <c r="T101"/>
  <c r="U101"/>
  <c r="V101"/>
  <c r="W101"/>
  <c r="X101"/>
  <c r="Y101"/>
  <c r="Z101"/>
  <c r="AA101"/>
  <c r="AB101"/>
  <c r="AC101"/>
  <c r="AD101"/>
  <c r="AE101"/>
  <c r="AF101"/>
  <c r="AG101"/>
  <c r="AH101"/>
  <c r="AI101"/>
  <c r="AJ101"/>
  <c r="AK101"/>
  <c r="C102"/>
  <c r="D102"/>
  <c r="F102"/>
  <c r="H102"/>
  <c r="J102"/>
  <c r="L102"/>
  <c r="N102"/>
  <c r="P102"/>
  <c r="Q102"/>
  <c r="R102"/>
  <c r="S102"/>
  <c r="T102"/>
  <c r="U102"/>
  <c r="V102"/>
  <c r="W102"/>
  <c r="X102"/>
  <c r="Y102"/>
  <c r="Z102"/>
  <c r="AA102"/>
  <c r="AB102"/>
  <c r="AC102"/>
  <c r="AD102"/>
  <c r="AE102"/>
  <c r="AF102"/>
  <c r="AG102"/>
  <c r="AH102"/>
  <c r="AI102"/>
  <c r="AJ102"/>
  <c r="AK102"/>
  <c r="C103"/>
  <c r="D103"/>
  <c r="E103"/>
  <c r="F103"/>
  <c r="G103"/>
  <c r="H103"/>
  <c r="I103"/>
  <c r="J103"/>
  <c r="K103"/>
  <c r="L103"/>
  <c r="M103"/>
  <c r="N103"/>
  <c r="O103"/>
  <c r="P103"/>
  <c r="Q103"/>
  <c r="R103"/>
  <c r="S103"/>
  <c r="T103"/>
  <c r="U103"/>
  <c r="V103"/>
  <c r="W103"/>
  <c r="X103"/>
  <c r="Y103"/>
  <c r="Z103"/>
  <c r="AA103"/>
  <c r="AB103"/>
  <c r="AC103"/>
  <c r="AD103"/>
  <c r="AE103"/>
  <c r="AF103"/>
  <c r="AG103"/>
  <c r="AH103"/>
  <c r="AI103"/>
  <c r="AJ103"/>
  <c r="AK103"/>
  <c r="C104"/>
  <c r="D104"/>
  <c r="E104"/>
  <c r="F104"/>
  <c r="G104"/>
  <c r="H104"/>
  <c r="I104"/>
  <c r="J104"/>
  <c r="K104"/>
  <c r="L104"/>
  <c r="M104"/>
  <c r="N104"/>
  <c r="O104"/>
  <c r="P104"/>
  <c r="Q104"/>
  <c r="R104"/>
  <c r="S104"/>
  <c r="T104"/>
  <c r="U104"/>
  <c r="V104"/>
  <c r="W104"/>
  <c r="X104"/>
  <c r="Y104"/>
  <c r="Z104"/>
  <c r="AA104"/>
  <c r="AB104"/>
  <c r="AC104"/>
  <c r="AD104"/>
  <c r="AE104"/>
  <c r="AF104"/>
  <c r="AG104"/>
  <c r="AH104"/>
  <c r="AI104"/>
  <c r="AJ104"/>
  <c r="AK104"/>
  <c r="C105"/>
  <c r="D105"/>
  <c r="E105"/>
  <c r="F105"/>
  <c r="G105"/>
  <c r="H105"/>
  <c r="I105"/>
  <c r="J105"/>
  <c r="K105"/>
  <c r="L105"/>
  <c r="M105"/>
  <c r="N105"/>
  <c r="O105"/>
  <c r="P105"/>
  <c r="Q105"/>
  <c r="R105"/>
  <c r="S105"/>
  <c r="T105"/>
  <c r="U105"/>
  <c r="V105"/>
  <c r="W105"/>
  <c r="X105"/>
  <c r="Y105"/>
  <c r="Z105"/>
  <c r="AA105"/>
  <c r="AB105"/>
  <c r="AC105"/>
  <c r="AD105"/>
  <c r="AE105"/>
  <c r="AF105"/>
  <c r="AG105"/>
  <c r="AH105"/>
  <c r="AI105"/>
  <c r="AJ105"/>
  <c r="AK105"/>
  <c r="C106"/>
  <c r="D106"/>
  <c r="E106"/>
  <c r="F106"/>
  <c r="G106"/>
  <c r="H106"/>
  <c r="I106"/>
  <c r="J106"/>
  <c r="K106"/>
  <c r="L106"/>
  <c r="M106"/>
  <c r="N106"/>
  <c r="O106"/>
  <c r="P106"/>
  <c r="Q106"/>
  <c r="R106"/>
  <c r="S106"/>
  <c r="T106"/>
  <c r="U106"/>
  <c r="V106"/>
  <c r="W106"/>
  <c r="X106"/>
  <c r="Y106"/>
  <c r="Z106"/>
  <c r="AA106"/>
  <c r="AB106"/>
  <c r="AC106"/>
  <c r="AD106"/>
  <c r="AE106"/>
  <c r="AF106"/>
  <c r="AG106"/>
  <c r="AH106"/>
  <c r="AI106"/>
  <c r="AJ106"/>
  <c r="AK106"/>
  <c r="C107"/>
  <c r="D107"/>
  <c r="E107"/>
  <c r="F107"/>
  <c r="G107"/>
  <c r="H107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AD107"/>
  <c r="AE107"/>
  <c r="AF107"/>
  <c r="AG107"/>
  <c r="AH107"/>
  <c r="AI107"/>
  <c r="AJ107"/>
  <c r="AK107"/>
  <c r="C108"/>
  <c r="D108"/>
  <c r="E108"/>
  <c r="F108"/>
  <c r="G108"/>
  <c r="H108"/>
  <c r="I108"/>
  <c r="J108"/>
  <c r="K108"/>
  <c r="L108"/>
  <c r="M108"/>
  <c r="N108"/>
  <c r="O108"/>
  <c r="P108"/>
  <c r="Q108"/>
  <c r="R108"/>
  <c r="S108"/>
  <c r="T108"/>
  <c r="U108"/>
  <c r="V108"/>
  <c r="W108"/>
  <c r="X108"/>
  <c r="Y108"/>
  <c r="Z108"/>
  <c r="AA108"/>
  <c r="AB108"/>
  <c r="AC108"/>
  <c r="AD108"/>
  <c r="AE108"/>
  <c r="AF108"/>
  <c r="AG108"/>
  <c r="AH108"/>
  <c r="AI108"/>
  <c r="AJ108"/>
  <c r="AK108"/>
  <c r="C109"/>
  <c r="D109"/>
  <c r="E109"/>
  <c r="F109"/>
  <c r="G109"/>
  <c r="H109"/>
  <c r="I109"/>
  <c r="J109"/>
  <c r="K109"/>
  <c r="L109"/>
  <c r="M109"/>
  <c r="N109"/>
  <c r="O109"/>
  <c r="P109"/>
  <c r="Q109"/>
  <c r="R109"/>
  <c r="S109"/>
  <c r="T109"/>
  <c r="U109"/>
  <c r="V109"/>
  <c r="W109"/>
  <c r="X109"/>
  <c r="Y109"/>
  <c r="Z109"/>
  <c r="AA109"/>
  <c r="AB109"/>
  <c r="AC109"/>
  <c r="AD109"/>
  <c r="AE109"/>
  <c r="AF109"/>
  <c r="AG109"/>
  <c r="AH109"/>
  <c r="AI109"/>
  <c r="AJ109"/>
  <c r="AK109"/>
  <c r="C110"/>
  <c r="D110"/>
  <c r="I110"/>
  <c r="J110"/>
  <c r="K110"/>
  <c r="L110"/>
  <c r="M110"/>
  <c r="N110"/>
  <c r="O110"/>
  <c r="P110"/>
  <c r="Q110"/>
  <c r="R110"/>
  <c r="S110"/>
  <c r="T110"/>
  <c r="U110"/>
  <c r="V110"/>
  <c r="W110"/>
  <c r="X110"/>
  <c r="Y110"/>
  <c r="Z110"/>
  <c r="AA110"/>
  <c r="AB110"/>
  <c r="AC110"/>
  <c r="AD110"/>
  <c r="AE110"/>
  <c r="AF110"/>
  <c r="AG110"/>
  <c r="AH110"/>
  <c r="AI110"/>
  <c r="AJ110"/>
  <c r="AK110"/>
  <c r="C111"/>
  <c r="D111"/>
  <c r="E111"/>
  <c r="F111"/>
  <c r="G111"/>
  <c r="H111"/>
  <c r="I111"/>
  <c r="J111"/>
  <c r="K111"/>
  <c r="L111"/>
  <c r="M111"/>
  <c r="N111"/>
  <c r="O111"/>
  <c r="P111"/>
  <c r="Q111"/>
  <c r="R111"/>
  <c r="S111"/>
  <c r="T111"/>
  <c r="U111"/>
  <c r="V111"/>
  <c r="W111"/>
  <c r="X111"/>
  <c r="Y111"/>
  <c r="Z111"/>
  <c r="AA111"/>
  <c r="AB111"/>
  <c r="AC111"/>
  <c r="AD111"/>
  <c r="AE111"/>
  <c r="AF111"/>
  <c r="AG111"/>
  <c r="AH111"/>
  <c r="AI111"/>
  <c r="AJ111"/>
  <c r="AK111"/>
  <c r="C112"/>
  <c r="D112"/>
  <c r="E112"/>
  <c r="F112"/>
  <c r="G112"/>
  <c r="H112"/>
  <c r="I112"/>
  <c r="J112"/>
  <c r="K112"/>
  <c r="L112"/>
  <c r="M112"/>
  <c r="N112"/>
  <c r="O112"/>
  <c r="P112"/>
  <c r="Q112"/>
  <c r="R112"/>
  <c r="S112"/>
  <c r="T112"/>
  <c r="U112"/>
  <c r="V112"/>
  <c r="W112"/>
  <c r="X112"/>
  <c r="Y112"/>
  <c r="Z112"/>
  <c r="AA112"/>
  <c r="AB112"/>
  <c r="AC112"/>
  <c r="AD112"/>
  <c r="AE112"/>
  <c r="AF112"/>
  <c r="AG112"/>
  <c r="AH112"/>
  <c r="AI112"/>
  <c r="AJ112"/>
  <c r="AK112"/>
  <c r="C113"/>
  <c r="D113"/>
  <c r="E113"/>
  <c r="F113"/>
  <c r="G113"/>
  <c r="H113"/>
  <c r="I113"/>
  <c r="J113"/>
  <c r="K113"/>
  <c r="L113"/>
  <c r="M113"/>
  <c r="N113"/>
  <c r="O113"/>
  <c r="P113"/>
  <c r="Q113"/>
  <c r="R113"/>
  <c r="S113"/>
  <c r="T113"/>
  <c r="U113"/>
  <c r="V113"/>
  <c r="W113"/>
  <c r="X113"/>
  <c r="Y113"/>
  <c r="Z113"/>
  <c r="AA113"/>
  <c r="AB113"/>
  <c r="AC113"/>
  <c r="AD113"/>
  <c r="AE113"/>
  <c r="AF113"/>
  <c r="AG113"/>
  <c r="AH113"/>
  <c r="AI113"/>
  <c r="AJ113"/>
  <c r="AK113"/>
  <c r="C114"/>
  <c r="D114"/>
  <c r="E114"/>
  <c r="F114"/>
  <c r="G114"/>
  <c r="H114"/>
  <c r="I114"/>
  <c r="J114"/>
  <c r="K114"/>
  <c r="L114"/>
  <c r="M114"/>
  <c r="N114"/>
  <c r="O114"/>
  <c r="P114"/>
  <c r="Q114"/>
  <c r="R114"/>
  <c r="S114"/>
  <c r="T114"/>
  <c r="U114"/>
  <c r="V114"/>
  <c r="W114"/>
  <c r="X114"/>
  <c r="Y114"/>
  <c r="Z114"/>
  <c r="AA114"/>
  <c r="AB114"/>
  <c r="AC114"/>
  <c r="AD114"/>
  <c r="AE114"/>
  <c r="AF114"/>
  <c r="AG114"/>
  <c r="AH114"/>
  <c r="AI114"/>
  <c r="AJ114"/>
  <c r="AK114"/>
  <c r="C115"/>
  <c r="D115"/>
  <c r="I115"/>
  <c r="J115"/>
  <c r="K115"/>
  <c r="L115"/>
  <c r="M115"/>
  <c r="N115"/>
  <c r="O115"/>
  <c r="P115"/>
  <c r="Q115"/>
  <c r="R115"/>
  <c r="S115"/>
  <c r="T115"/>
  <c r="U115"/>
  <c r="V115"/>
  <c r="W115"/>
  <c r="X115"/>
  <c r="Y115"/>
  <c r="Z115"/>
  <c r="AA115"/>
  <c r="AB115"/>
  <c r="AC115"/>
  <c r="AD115"/>
  <c r="AE115"/>
  <c r="AF115"/>
  <c r="AG115"/>
  <c r="AH115"/>
  <c r="AI115"/>
  <c r="AJ115"/>
  <c r="AK115"/>
  <c r="C116"/>
  <c r="D116"/>
  <c r="E116"/>
  <c r="F116"/>
  <c r="G116"/>
  <c r="H116"/>
  <c r="I116"/>
  <c r="J116"/>
  <c r="K116"/>
  <c r="L116"/>
  <c r="M116"/>
  <c r="N116"/>
  <c r="O116"/>
  <c r="P116"/>
  <c r="Q116"/>
  <c r="R116"/>
  <c r="S116"/>
  <c r="T116"/>
  <c r="U116"/>
  <c r="V116"/>
  <c r="W116"/>
  <c r="X116"/>
  <c r="Y116"/>
  <c r="Z116"/>
  <c r="AA116"/>
  <c r="AB116"/>
  <c r="AC116"/>
  <c r="AD116"/>
  <c r="AE116"/>
  <c r="AF116"/>
  <c r="AG116"/>
  <c r="AH116"/>
  <c r="AI116"/>
  <c r="AJ116"/>
  <c r="AK116"/>
  <c r="C117"/>
  <c r="D117"/>
  <c r="E117"/>
  <c r="F117"/>
  <c r="G117"/>
  <c r="H117"/>
  <c r="I117"/>
  <c r="J117"/>
  <c r="K117"/>
  <c r="L117"/>
  <c r="M117"/>
  <c r="N117"/>
  <c r="O117"/>
  <c r="P117"/>
  <c r="Q117"/>
  <c r="R117"/>
  <c r="S117"/>
  <c r="T117"/>
  <c r="U117"/>
  <c r="V117"/>
  <c r="W117"/>
  <c r="X117"/>
  <c r="Y117"/>
  <c r="Z117"/>
  <c r="AA117"/>
  <c r="AB117"/>
  <c r="AC117"/>
  <c r="AD117"/>
  <c r="AE117"/>
  <c r="AF117"/>
  <c r="AG117"/>
  <c r="AH117"/>
  <c r="AI117"/>
  <c r="AJ117"/>
  <c r="AK117"/>
  <c r="C118"/>
  <c r="D118"/>
  <c r="E118"/>
  <c r="F118"/>
  <c r="G118"/>
  <c r="H118"/>
  <c r="I118"/>
  <c r="J118"/>
  <c r="K118"/>
  <c r="L118"/>
  <c r="M118"/>
  <c r="N118"/>
  <c r="O118"/>
  <c r="P118"/>
  <c r="Q118"/>
  <c r="R118"/>
  <c r="S118"/>
  <c r="T118"/>
  <c r="U118"/>
  <c r="V118"/>
  <c r="W118"/>
  <c r="X118"/>
  <c r="Y118"/>
  <c r="Z118"/>
  <c r="AA118"/>
  <c r="AB118"/>
  <c r="AC118"/>
  <c r="AD118"/>
  <c r="AE118"/>
  <c r="AF118"/>
  <c r="AG118"/>
  <c r="AH118"/>
  <c r="AI118"/>
  <c r="AJ118"/>
  <c r="AK118"/>
  <c r="C119"/>
  <c r="D119"/>
  <c r="E119"/>
  <c r="F119"/>
  <c r="G119"/>
  <c r="H119"/>
  <c r="I119"/>
  <c r="J119"/>
  <c r="K119"/>
  <c r="L119"/>
  <c r="M119"/>
  <c r="N119"/>
  <c r="O119"/>
  <c r="P119"/>
  <c r="Q119"/>
  <c r="R119"/>
  <c r="S119"/>
  <c r="T119"/>
  <c r="U119"/>
  <c r="V119"/>
  <c r="W119"/>
  <c r="X119"/>
  <c r="Y119"/>
  <c r="Z119"/>
  <c r="AA119"/>
  <c r="AB119"/>
  <c r="AC119"/>
  <c r="AD119"/>
  <c r="AE119"/>
  <c r="AF119"/>
  <c r="AG119"/>
  <c r="AH119"/>
  <c r="AI119"/>
  <c r="AJ119"/>
  <c r="AK119"/>
  <c r="C120"/>
  <c r="D120"/>
  <c r="E120"/>
  <c r="F120"/>
  <c r="G120"/>
  <c r="H120"/>
  <c r="I120"/>
  <c r="J120"/>
  <c r="K120"/>
  <c r="L120"/>
  <c r="M120"/>
  <c r="N120"/>
  <c r="O120"/>
  <c r="P120"/>
  <c r="Q120"/>
  <c r="R120"/>
  <c r="S120"/>
  <c r="T120"/>
  <c r="U120"/>
  <c r="V120"/>
  <c r="W120"/>
  <c r="X120"/>
  <c r="Y120"/>
  <c r="Z120"/>
  <c r="AA120"/>
  <c r="AB120"/>
  <c r="AC120"/>
  <c r="AD120"/>
  <c r="AE120"/>
  <c r="AF120"/>
  <c r="AG120"/>
  <c r="AH120"/>
  <c r="AI120"/>
  <c r="AJ120"/>
  <c r="AK120"/>
  <c r="C121"/>
  <c r="D121"/>
  <c r="E121"/>
  <c r="F121"/>
  <c r="G121"/>
  <c r="H121"/>
  <c r="I121"/>
  <c r="J121"/>
  <c r="K121"/>
  <c r="L121"/>
  <c r="M121"/>
  <c r="N121"/>
  <c r="O121"/>
  <c r="P121"/>
  <c r="Q121"/>
  <c r="R121"/>
  <c r="S121"/>
  <c r="T121"/>
  <c r="U121"/>
  <c r="V121"/>
  <c r="W121"/>
  <c r="X121"/>
  <c r="Y121"/>
  <c r="Z121"/>
  <c r="AA121"/>
  <c r="AB121"/>
  <c r="AC121"/>
  <c r="AD121"/>
  <c r="AE121"/>
  <c r="AF121"/>
  <c r="AG121"/>
  <c r="AH121"/>
  <c r="AI121"/>
  <c r="AJ121"/>
  <c r="AK121"/>
  <c r="C122"/>
  <c r="D122"/>
  <c r="E122"/>
  <c r="F122"/>
  <c r="G122"/>
  <c r="H122"/>
  <c r="I122"/>
  <c r="J122"/>
  <c r="K122"/>
  <c r="L122"/>
  <c r="M122"/>
  <c r="N122"/>
  <c r="O122"/>
  <c r="P122"/>
  <c r="Q122"/>
  <c r="R122"/>
  <c r="S122"/>
  <c r="T122"/>
  <c r="U122"/>
  <c r="V122"/>
  <c r="W122"/>
  <c r="X122"/>
  <c r="Y122"/>
  <c r="Z122"/>
  <c r="AA122"/>
  <c r="AB122"/>
  <c r="AC122"/>
  <c r="AD122"/>
  <c r="AE122"/>
  <c r="AF122"/>
  <c r="AG122"/>
  <c r="AH122"/>
  <c r="AI122"/>
  <c r="AJ122"/>
  <c r="AK122"/>
  <c r="C123"/>
  <c r="D123"/>
  <c r="E123"/>
  <c r="F123"/>
  <c r="G123"/>
  <c r="H123"/>
  <c r="I123"/>
  <c r="J123"/>
  <c r="K123"/>
  <c r="L123"/>
  <c r="M123"/>
  <c r="N123"/>
  <c r="O123"/>
  <c r="P123"/>
  <c r="Q123"/>
  <c r="R123"/>
  <c r="S123"/>
  <c r="T123"/>
  <c r="U123"/>
  <c r="V123"/>
  <c r="W123"/>
  <c r="X123"/>
  <c r="Y123"/>
  <c r="Z123"/>
  <c r="AA123"/>
  <c r="AB123"/>
  <c r="AC123"/>
  <c r="AD123"/>
  <c r="AE123"/>
  <c r="AF123"/>
  <c r="AG123"/>
  <c r="AH123"/>
  <c r="AI123"/>
  <c r="AJ123"/>
  <c r="AK123"/>
  <c r="C1" i="13"/>
  <c r="C1" i="10"/>
  <c r="D27" s="1"/>
  <c r="C1" i="11"/>
  <c r="D27" s="1"/>
  <c r="C1" i="12"/>
  <c r="D27" s="1"/>
  <c r="A6" i="10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6" i="1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6" i="12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6" i="13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D3" i="7"/>
  <c r="E3" s="1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"/>
  <c r="D26" i="9"/>
  <c r="L28" i="15" s="1"/>
  <c r="M28" s="1"/>
  <c r="E26" i="9"/>
  <c r="D27" i="6"/>
  <c r="E27" s="1"/>
  <c r="F27" s="1"/>
  <c r="G27" s="1"/>
  <c r="AF12" i="2" s="1"/>
  <c r="D3" i="6"/>
  <c r="E3" s="1"/>
  <c r="F3" s="1"/>
  <c r="G7" i="9"/>
  <c r="F7"/>
  <c r="D5"/>
  <c r="L7" i="15" s="1"/>
  <c r="M7" s="1"/>
  <c r="A38" i="4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8" i="1"/>
  <c r="K36"/>
  <c r="Q36" s="1"/>
  <c r="I36"/>
  <c r="O36" s="1"/>
  <c r="K35"/>
  <c r="Q35" s="1"/>
  <c r="I35"/>
  <c r="O35" s="1"/>
  <c r="K34"/>
  <c r="Q34" s="1"/>
  <c r="I34"/>
  <c r="O34" s="1"/>
  <c r="K33"/>
  <c r="Q33" s="1"/>
  <c r="I33"/>
  <c r="O33" s="1"/>
  <c r="K32"/>
  <c r="Q32" s="1"/>
  <c r="I32"/>
  <c r="O32" s="1"/>
  <c r="K31"/>
  <c r="Q31" s="1"/>
  <c r="I31"/>
  <c r="O31" s="1"/>
  <c r="K30"/>
  <c r="Q30" s="1"/>
  <c r="I30"/>
  <c r="O30" s="1"/>
  <c r="K29"/>
  <c r="Q29" s="1"/>
  <c r="I29"/>
  <c r="O29" s="1"/>
  <c r="K28"/>
  <c r="J28"/>
  <c r="I28"/>
  <c r="K27"/>
  <c r="Q27" s="1"/>
  <c r="I27"/>
  <c r="O27" s="1"/>
  <c r="K26"/>
  <c r="Q26" s="1"/>
  <c r="I26"/>
  <c r="O26" s="1"/>
  <c r="K24"/>
  <c r="Q24" s="1"/>
  <c r="I24"/>
  <c r="O24" s="1"/>
  <c r="K23"/>
  <c r="Q23" s="1"/>
  <c r="I23"/>
  <c r="O23" s="1"/>
  <c r="K22"/>
  <c r="Q22" s="1"/>
  <c r="I22"/>
  <c r="O22" s="1"/>
  <c r="K21"/>
  <c r="Q21" s="1"/>
  <c r="I21"/>
  <c r="O21" s="1"/>
  <c r="K20"/>
  <c r="Q20" s="1"/>
  <c r="I20"/>
  <c r="O20" s="1"/>
  <c r="K19"/>
  <c r="Q19" s="1"/>
  <c r="I19"/>
  <c r="O19" s="1"/>
  <c r="K18"/>
  <c r="Q18" s="1"/>
  <c r="I18"/>
  <c r="O18" s="1"/>
  <c r="K17"/>
  <c r="Q17" s="1"/>
  <c r="I17"/>
  <c r="O17" s="1"/>
  <c r="K16"/>
  <c r="Q16" s="1"/>
  <c r="J16"/>
  <c r="P16" s="1"/>
  <c r="I16"/>
  <c r="O16" s="1"/>
  <c r="K15"/>
  <c r="J15"/>
  <c r="I15"/>
  <c r="K14"/>
  <c r="Q14" s="1"/>
  <c r="I14"/>
  <c r="O14" s="1"/>
  <c r="K13"/>
  <c r="Q13" s="1"/>
  <c r="I13"/>
  <c r="O13" s="1"/>
  <c r="K12"/>
  <c r="Q12" s="1"/>
  <c r="I12"/>
  <c r="O12" s="1"/>
  <c r="K11"/>
  <c r="Q11" s="1"/>
  <c r="I11"/>
  <c r="O11" s="1"/>
  <c r="K10"/>
  <c r="Q10" s="1"/>
  <c r="I10"/>
  <c r="O10" s="1"/>
  <c r="K9"/>
  <c r="Q9" s="1"/>
  <c r="I9"/>
  <c r="O9" s="1"/>
  <c r="K8"/>
  <c r="Q8" s="1"/>
  <c r="I8"/>
  <c r="O8" s="1"/>
  <c r="K7"/>
  <c r="Q7" s="1"/>
  <c r="I7"/>
  <c r="O7" s="1"/>
  <c r="K6"/>
  <c r="Q6" s="1"/>
  <c r="I6"/>
  <c r="O6" s="1"/>
  <c r="K5"/>
  <c r="Q5" s="1"/>
  <c r="I5"/>
  <c r="O5" s="1"/>
  <c r="K4"/>
  <c r="Q4" s="1"/>
  <c r="I4"/>
  <c r="O4" s="1"/>
  <c r="K2"/>
  <c r="Q2" s="1"/>
  <c r="I2"/>
  <c r="O2" s="1"/>
  <c r="H36"/>
  <c r="H35"/>
  <c r="H34"/>
  <c r="H33"/>
  <c r="H32"/>
  <c r="H31"/>
  <c r="H30"/>
  <c r="H29"/>
  <c r="H28"/>
  <c r="H27"/>
  <c r="H26"/>
  <c r="N26" s="1"/>
  <c r="C26" s="1"/>
  <c r="H25"/>
  <c r="H24"/>
  <c r="H23"/>
  <c r="H22"/>
  <c r="N22" s="1"/>
  <c r="C22" s="1"/>
  <c r="H21"/>
  <c r="H20"/>
  <c r="H19"/>
  <c r="H18"/>
  <c r="N18" s="1"/>
  <c r="C18" s="1"/>
  <c r="H17"/>
  <c r="H16"/>
  <c r="H15"/>
  <c r="H14"/>
  <c r="N14" s="1"/>
  <c r="C14" s="1"/>
  <c r="H13"/>
  <c r="N13" s="1"/>
  <c r="C13" s="1"/>
  <c r="H12"/>
  <c r="N12"/>
  <c r="C12" s="1"/>
  <c r="H11"/>
  <c r="H10"/>
  <c r="N10" s="1"/>
  <c r="C10" s="1"/>
  <c r="H9"/>
  <c r="N9" s="1"/>
  <c r="C9" s="1"/>
  <c r="H8"/>
  <c r="N8"/>
  <c r="C8" s="1"/>
  <c r="H7"/>
  <c r="H6"/>
  <c r="N6" s="1"/>
  <c r="C6" s="1"/>
  <c r="H5"/>
  <c r="N5" s="1"/>
  <c r="C5" s="1"/>
  <c r="H4"/>
  <c r="N4"/>
  <c r="C4" s="1"/>
  <c r="H3"/>
  <c r="N3"/>
  <c r="C3" s="1"/>
  <c r="H2"/>
  <c r="N2"/>
  <c r="G36"/>
  <c r="M36" s="1"/>
  <c r="G35"/>
  <c r="M35" s="1"/>
  <c r="G34"/>
  <c r="M34" s="1"/>
  <c r="G33"/>
  <c r="M33" s="1"/>
  <c r="G32"/>
  <c r="M32" s="1"/>
  <c r="G31"/>
  <c r="M31" s="1"/>
  <c r="G30"/>
  <c r="M30" s="1"/>
  <c r="G29"/>
  <c r="M29" s="1"/>
  <c r="G28"/>
  <c r="G27"/>
  <c r="M27" s="1"/>
  <c r="G26"/>
  <c r="M26" s="1"/>
  <c r="G25"/>
  <c r="M25" s="1"/>
  <c r="G24"/>
  <c r="M24" s="1"/>
  <c r="G23"/>
  <c r="M23" s="1"/>
  <c r="G22"/>
  <c r="M22" s="1"/>
  <c r="G21"/>
  <c r="M21" s="1"/>
  <c r="G20"/>
  <c r="M20" s="1"/>
  <c r="G19"/>
  <c r="M19" s="1"/>
  <c r="G18"/>
  <c r="M18" s="1"/>
  <c r="G17"/>
  <c r="M17" s="1"/>
  <c r="G16"/>
  <c r="M16" s="1"/>
  <c r="G14"/>
  <c r="M14" s="1"/>
  <c r="G13"/>
  <c r="M13" s="1"/>
  <c r="G12"/>
  <c r="M12" s="1"/>
  <c r="G11"/>
  <c r="M11" s="1"/>
  <c r="G10"/>
  <c r="M10" s="1"/>
  <c r="G9"/>
  <c r="M9" s="1"/>
  <c r="G8"/>
  <c r="M8" s="1"/>
  <c r="G7"/>
  <c r="M7" s="1"/>
  <c r="G6"/>
  <c r="M6" s="1"/>
  <c r="G5"/>
  <c r="M5" s="1"/>
  <c r="G4"/>
  <c r="M4" s="1"/>
  <c r="G2"/>
  <c r="M2" s="1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D6" i="5"/>
  <c r="E6" s="1"/>
  <c r="F6" s="1"/>
  <c r="D6" i="6"/>
  <c r="E6" s="1"/>
  <c r="F6" s="1"/>
  <c r="N20" i="1"/>
  <c r="C20" s="1"/>
  <c r="N24"/>
  <c r="C24" s="1"/>
  <c r="N28"/>
  <c r="N30"/>
  <c r="C30" s="1"/>
  <c r="N32"/>
  <c r="C32" s="1"/>
  <c r="N34"/>
  <c r="C34" s="1"/>
  <c r="N36"/>
  <c r="C36" s="1"/>
  <c r="N7"/>
  <c r="C7" s="1"/>
  <c r="N11"/>
  <c r="C11" s="1"/>
  <c r="N15"/>
  <c r="N17"/>
  <c r="C17" s="1"/>
  <c r="N19"/>
  <c r="C19" s="1"/>
  <c r="N21"/>
  <c r="C21" s="1"/>
  <c r="N23"/>
  <c r="C23" s="1"/>
  <c r="N25"/>
  <c r="N27"/>
  <c r="C27" s="1"/>
  <c r="N29"/>
  <c r="C29" s="1"/>
  <c r="N31"/>
  <c r="C31" s="1"/>
  <c r="N33"/>
  <c r="C33" s="1"/>
  <c r="N35"/>
  <c r="C35" s="1"/>
  <c r="D38" i="17"/>
  <c r="AP25" i="2" s="1"/>
  <c r="D22" i="17"/>
  <c r="Z25" i="2" s="1"/>
  <c r="D8" i="17"/>
  <c r="L25" i="2" s="1"/>
  <c r="F33" i="15"/>
  <c r="F18" s="1"/>
  <c r="F25"/>
  <c r="F16" s="1"/>
  <c r="F22"/>
  <c r="F9"/>
  <c r="G14"/>
  <c r="G15"/>
  <c r="G37"/>
  <c r="G24"/>
  <c r="G35"/>
  <c r="F30"/>
  <c r="F24"/>
  <c r="F20"/>
  <c r="F32" s="1"/>
  <c r="G12"/>
  <c r="E14" i="16"/>
  <c r="E47"/>
  <c r="AO23" i="2" s="1"/>
  <c r="E45" i="16"/>
  <c r="AM23" i="2" s="1"/>
  <c r="E43" i="16"/>
  <c r="AK23" i="2" s="1"/>
  <c r="E41" i="16"/>
  <c r="AI23" i="2" s="1"/>
  <c r="E39" i="16"/>
  <c r="AG23" i="2" s="1"/>
  <c r="E37" i="16"/>
  <c r="AE23" i="2" s="1"/>
  <c r="E35" i="16"/>
  <c r="AC23" i="2" s="1"/>
  <c r="E33" i="16"/>
  <c r="AA23" i="2" s="1"/>
  <c r="E31" i="16"/>
  <c r="E29"/>
  <c r="W23" i="2" s="1"/>
  <c r="E27" i="16"/>
  <c r="U23" i="2" s="1"/>
  <c r="E25" i="16"/>
  <c r="S23" i="2" s="1"/>
  <c r="E23" i="16"/>
  <c r="Q23" i="2" s="1"/>
  <c r="E21" i="16"/>
  <c r="O23" i="2" s="1"/>
  <c r="E19" i="16"/>
  <c r="M23" i="2" s="1"/>
  <c r="E17" i="16"/>
  <c r="K23" i="2" s="1"/>
  <c r="E15" i="16"/>
  <c r="I23" i="2" s="1"/>
  <c r="E48" i="16"/>
  <c r="AP23" i="2" s="1"/>
  <c r="E46" i="16"/>
  <c r="AN23" i="2" s="1"/>
  <c r="E44" i="16"/>
  <c r="AL23" i="2" s="1"/>
  <c r="E42" i="16"/>
  <c r="AJ23" i="2" s="1"/>
  <c r="E40" i="16"/>
  <c r="AH23" i="2" s="1"/>
  <c r="E38" i="16"/>
  <c r="AF23" i="2" s="1"/>
  <c r="E36" i="16"/>
  <c r="AD23" i="2" s="1"/>
  <c r="E34" i="16"/>
  <c r="AB23" i="2" s="1"/>
  <c r="E32" i="16"/>
  <c r="Z23" i="2" s="1"/>
  <c r="E30" i="16"/>
  <c r="X23" i="2" s="1"/>
  <c r="E28" i="16"/>
  <c r="V23" i="2" s="1"/>
  <c r="E26" i="16"/>
  <c r="T23" i="2" s="1"/>
  <c r="E24" i="16"/>
  <c r="R23" i="2" s="1"/>
  <c r="E22" i="16"/>
  <c r="P23" i="2" s="1"/>
  <c r="E20" i="16"/>
  <c r="N23" i="2" s="1"/>
  <c r="E18" i="16"/>
  <c r="L23" i="2" s="1"/>
  <c r="D38" i="12"/>
  <c r="G77" i="14"/>
  <c r="G115" s="1"/>
  <c r="AE148" s="1"/>
  <c r="G110"/>
  <c r="E148"/>
  <c r="AN148" s="1"/>
  <c r="K149"/>
  <c r="AM148"/>
  <c r="BV148" s="1"/>
  <c r="AK148"/>
  <c r="BT148" s="1"/>
  <c r="AI148"/>
  <c r="BR148" s="1"/>
  <c r="AG148"/>
  <c r="BP148" s="1"/>
  <c r="AC148"/>
  <c r="BL148" s="1"/>
  <c r="AA148"/>
  <c r="BJ148" s="1"/>
  <c r="Y148"/>
  <c r="BH148" s="1"/>
  <c r="W148"/>
  <c r="BF148" s="1"/>
  <c r="U148"/>
  <c r="BD148" s="1"/>
  <c r="S148"/>
  <c r="BB148" s="1"/>
  <c r="Q148"/>
  <c r="AZ148" s="1"/>
  <c r="O148"/>
  <c r="AX148" s="1"/>
  <c r="M148"/>
  <c r="AV148" s="1"/>
  <c r="K148"/>
  <c r="AT148" s="1"/>
  <c r="I148"/>
  <c r="AR148" s="1"/>
  <c r="G148"/>
  <c r="AP148" s="1"/>
  <c r="E149"/>
  <c r="AJ149"/>
  <c r="AB149"/>
  <c r="T149"/>
  <c r="L149"/>
  <c r="AL148"/>
  <c r="BU148" s="1"/>
  <c r="AJ148"/>
  <c r="BS148" s="1"/>
  <c r="AH148"/>
  <c r="BQ148" s="1"/>
  <c r="AF148"/>
  <c r="AD148"/>
  <c r="BM148" s="1"/>
  <c r="AB148"/>
  <c r="BK148" s="1"/>
  <c r="Z148"/>
  <c r="BI148" s="1"/>
  <c r="X148"/>
  <c r="V148"/>
  <c r="BE148" s="1"/>
  <c r="T148"/>
  <c r="BC148" s="1"/>
  <c r="R148"/>
  <c r="BA148" s="1"/>
  <c r="P148"/>
  <c r="AY148" s="1"/>
  <c r="N148"/>
  <c r="AW148" s="1"/>
  <c r="L148"/>
  <c r="J148"/>
  <c r="AS148" s="1"/>
  <c r="H148"/>
  <c r="F148"/>
  <c r="AO148" s="1"/>
  <c r="E77"/>
  <c r="E115"/>
  <c r="E110"/>
  <c r="AC16"/>
  <c r="AC93" s="1"/>
  <c r="X93"/>
  <c r="D25" i="12"/>
  <c r="D17"/>
  <c r="D9"/>
  <c r="D36" i="11"/>
  <c r="H77" i="14"/>
  <c r="H115" s="1"/>
  <c r="H110"/>
  <c r="F77"/>
  <c r="F115"/>
  <c r="F110"/>
  <c r="D39" i="12"/>
  <c r="D31"/>
  <c r="D33" i="11"/>
  <c r="G20" i="15"/>
  <c r="G19"/>
  <c r="G34"/>
  <c r="D34" i="9"/>
  <c r="L36" i="15" s="1"/>
  <c r="M36" s="1"/>
  <c r="D30" i="9"/>
  <c r="D25"/>
  <c r="L27" i="15" s="1"/>
  <c r="M27" s="1"/>
  <c r="D21" i="9"/>
  <c r="D17"/>
  <c r="L19" i="15" s="1"/>
  <c r="M19" s="1"/>
  <c r="D13" i="9"/>
  <c r="D9"/>
  <c r="L11" i="15" s="1"/>
  <c r="M11" s="1"/>
  <c r="D4" i="9"/>
  <c r="D6"/>
  <c r="L8" i="15" s="1"/>
  <c r="M8" s="1"/>
  <c r="D8" i="9"/>
  <c r="D10"/>
  <c r="L12" i="15" s="1"/>
  <c r="M12" s="1"/>
  <c r="D12" i="9"/>
  <c r="D14"/>
  <c r="L16" i="15" s="1"/>
  <c r="M16" s="1"/>
  <c r="D16" i="9"/>
  <c r="D18"/>
  <c r="L20" i="15" s="1"/>
  <c r="M20" s="1"/>
  <c r="D20" i="9"/>
  <c r="D22"/>
  <c r="L24" i="15" s="1"/>
  <c r="M24" s="1"/>
  <c r="D24" i="9"/>
  <c r="D27"/>
  <c r="L29" i="15" s="1"/>
  <c r="M29" s="1"/>
  <c r="D29" i="9"/>
  <c r="D31"/>
  <c r="L33" i="15" s="1"/>
  <c r="M33" s="1"/>
  <c r="D33" i="9"/>
  <c r="D35"/>
  <c r="L37" i="15" s="1"/>
  <c r="M37" s="1"/>
  <c r="D27" i="7"/>
  <c r="E27" s="1"/>
  <c r="H27" s="1"/>
  <c r="I27" s="1"/>
  <c r="D27" i="5"/>
  <c r="E27" s="1"/>
  <c r="F27" s="1"/>
  <c r="G22" i="15"/>
  <c r="D36" i="9"/>
  <c r="D32"/>
  <c r="L34" i="15" s="1"/>
  <c r="M34" s="1"/>
  <c r="D28" i="9"/>
  <c r="D23"/>
  <c r="L25" i="15" s="1"/>
  <c r="M25" s="1"/>
  <c r="D19" i="9"/>
  <c r="D15"/>
  <c r="L17" i="15" s="1"/>
  <c r="M17" s="1"/>
  <c r="D11" i="9"/>
  <c r="D7"/>
  <c r="L9" i="15" s="1"/>
  <c r="M9" s="1"/>
  <c r="D3" i="9"/>
  <c r="D25" i="11"/>
  <c r="D21"/>
  <c r="D17"/>
  <c r="D13"/>
  <c r="D9"/>
  <c r="D41" s="1"/>
  <c r="D5"/>
  <c r="F31" i="15"/>
  <c r="F29"/>
  <c r="F27"/>
  <c r="F26"/>
  <c r="E18"/>
  <c r="F6"/>
  <c r="G38"/>
  <c r="E29"/>
  <c r="G23"/>
  <c r="F17"/>
  <c r="G28"/>
  <c r="G25"/>
  <c r="G16" s="1"/>
  <c r="G31"/>
  <c r="G10"/>
  <c r="G30"/>
  <c r="G11"/>
  <c r="G17"/>
  <c r="G27"/>
  <c r="D8" i="7"/>
  <c r="E8" s="1"/>
  <c r="H8" s="1"/>
  <c r="I8" s="1"/>
  <c r="D8" i="6"/>
  <c r="E8" s="1"/>
  <c r="F8" s="1"/>
  <c r="D8" i="5"/>
  <c r="E8" s="1"/>
  <c r="F8" s="1"/>
  <c r="D16" i="7"/>
  <c r="E16" s="1"/>
  <c r="H16" s="1"/>
  <c r="I16" s="1"/>
  <c r="D16" i="6"/>
  <c r="E16" s="1"/>
  <c r="F16" s="1"/>
  <c r="D16" i="5"/>
  <c r="E16" s="1"/>
  <c r="F16" s="1"/>
  <c r="D24" i="7"/>
  <c r="E24" s="1"/>
  <c r="H24" s="1"/>
  <c r="I24" s="1"/>
  <c r="D24" i="5"/>
  <c r="E24" s="1"/>
  <c r="F24" s="1"/>
  <c r="D24" i="6"/>
  <c r="E24" s="1"/>
  <c r="F24" s="1"/>
  <c r="D33" i="7"/>
  <c r="E33" s="1"/>
  <c r="H33" s="1"/>
  <c r="I33" s="1"/>
  <c r="D33" i="5"/>
  <c r="E33" s="1"/>
  <c r="F33" s="1"/>
  <c r="D33" i="6"/>
  <c r="E33" s="1"/>
  <c r="F33" s="1"/>
  <c r="D34"/>
  <c r="E34" s="1"/>
  <c r="F34" s="1"/>
  <c r="D25" i="5"/>
  <c r="E25" s="1"/>
  <c r="F25" s="1"/>
  <c r="D17" i="6"/>
  <c r="E17" s="1"/>
  <c r="F17" s="1"/>
  <c r="D9"/>
  <c r="E9" s="1"/>
  <c r="F9" s="1"/>
  <c r="G9" s="1"/>
  <c r="N12" i="2" s="1"/>
  <c r="D5" i="5"/>
  <c r="E5" s="1"/>
  <c r="F5" s="1"/>
  <c r="D14"/>
  <c r="E14" s="1"/>
  <c r="F14" s="1"/>
  <c r="D22" i="6"/>
  <c r="E22" s="1"/>
  <c r="F22" s="1"/>
  <c r="D31" i="5"/>
  <c r="E31" s="1"/>
  <c r="F31" s="1"/>
  <c r="G32" i="15"/>
  <c r="D4" i="7"/>
  <c r="E4" s="1"/>
  <c r="H4" s="1"/>
  <c r="I4" s="1"/>
  <c r="D4" i="5"/>
  <c r="E4" s="1"/>
  <c r="F4" s="1"/>
  <c r="D12" i="7"/>
  <c r="E12" s="1"/>
  <c r="H12" s="1"/>
  <c r="I12" s="1"/>
  <c r="D12" i="6"/>
  <c r="E12" s="1"/>
  <c r="F12" s="1"/>
  <c r="D20" i="7"/>
  <c r="E20" s="1"/>
  <c r="H20" s="1"/>
  <c r="I20" s="1"/>
  <c r="D20" i="5"/>
  <c r="E20" s="1"/>
  <c r="F20" s="1"/>
  <c r="D29" i="7"/>
  <c r="E29" s="1"/>
  <c r="H29" s="1"/>
  <c r="I29" s="1"/>
  <c r="D29" i="5"/>
  <c r="E29" s="1"/>
  <c r="F29" s="1"/>
  <c r="D37" i="7"/>
  <c r="E37" s="1"/>
  <c r="H37" s="1"/>
  <c r="I37" s="1"/>
  <c r="D37" i="5"/>
  <c r="E37" s="1"/>
  <c r="F37" s="1"/>
  <c r="D36" i="7"/>
  <c r="E36" s="1"/>
  <c r="H36" s="1"/>
  <c r="I36" s="1"/>
  <c r="D36" i="5"/>
  <c r="E36" s="1"/>
  <c r="F36" s="1"/>
  <c r="D36" i="6"/>
  <c r="E36" s="1"/>
  <c r="F36" s="1"/>
  <c r="D32" i="7"/>
  <c r="E32" s="1"/>
  <c r="H32" s="1"/>
  <c r="I32" s="1"/>
  <c r="D32" i="5"/>
  <c r="E32" s="1"/>
  <c r="F32" s="1"/>
  <c r="D32" i="6"/>
  <c r="E32" s="1"/>
  <c r="F32" s="1"/>
  <c r="D28" i="7"/>
  <c r="E28" s="1"/>
  <c r="H28" s="1"/>
  <c r="I28" s="1"/>
  <c r="D28" i="5"/>
  <c r="E28" s="1"/>
  <c r="F28" s="1"/>
  <c r="D28" i="6"/>
  <c r="E28" s="1"/>
  <c r="F28" s="1"/>
  <c r="D23" i="7"/>
  <c r="E23" s="1"/>
  <c r="H23" s="1"/>
  <c r="I23" s="1"/>
  <c r="D23" i="5"/>
  <c r="E23" s="1"/>
  <c r="F23" s="1"/>
  <c r="D23" i="6"/>
  <c r="E23" s="1"/>
  <c r="F23" s="1"/>
  <c r="G23" s="1"/>
  <c r="AB12" i="2" s="1"/>
  <c r="D19" i="7"/>
  <c r="E19" s="1"/>
  <c r="H19" s="1"/>
  <c r="I19" s="1"/>
  <c r="D19" i="5"/>
  <c r="E19" s="1"/>
  <c r="F19" s="1"/>
  <c r="D19" i="6"/>
  <c r="E19" s="1"/>
  <c r="F19" s="1"/>
  <c r="G19" s="1"/>
  <c r="X12" i="2" s="1"/>
  <c r="D15" i="7"/>
  <c r="E15" s="1"/>
  <c r="H15" s="1"/>
  <c r="I15" s="1"/>
  <c r="D15" i="6"/>
  <c r="E15" s="1"/>
  <c r="F15" s="1"/>
  <c r="G15" s="1"/>
  <c r="T12" i="2" s="1"/>
  <c r="D15" i="5"/>
  <c r="E15" s="1"/>
  <c r="F15" s="1"/>
  <c r="D11" i="7"/>
  <c r="E11" s="1"/>
  <c r="H11" s="1"/>
  <c r="I11" s="1"/>
  <c r="D11" i="5"/>
  <c r="E11" s="1"/>
  <c r="F11" s="1"/>
  <c r="D11" i="6"/>
  <c r="E11" s="1"/>
  <c r="F11" s="1"/>
  <c r="G11" s="1"/>
  <c r="P12" i="2" s="1"/>
  <c r="D7" i="7"/>
  <c r="E7" s="1"/>
  <c r="H7" s="1"/>
  <c r="I7" s="1"/>
  <c r="D7" i="5"/>
  <c r="E7" s="1"/>
  <c r="F7" s="1"/>
  <c r="D7" i="6"/>
  <c r="E7" s="1"/>
  <c r="F7" s="1"/>
  <c r="G7" s="1"/>
  <c r="L12" i="2" s="1"/>
  <c r="D10" i="7"/>
  <c r="E10" s="1"/>
  <c r="H10" s="1"/>
  <c r="I10" s="1"/>
  <c r="D10" i="5"/>
  <c r="E10" s="1"/>
  <c r="F10" s="1"/>
  <c r="D10" i="6"/>
  <c r="E10" s="1"/>
  <c r="F10" s="1"/>
  <c r="D18" i="7"/>
  <c r="E18" s="1"/>
  <c r="H18" s="1"/>
  <c r="I18" s="1"/>
  <c r="D18" i="6"/>
  <c r="E18" s="1"/>
  <c r="F18" s="1"/>
  <c r="D18" i="5"/>
  <c r="E18" s="1"/>
  <c r="F18" s="1"/>
  <c r="D26" i="7"/>
  <c r="E26" s="1"/>
  <c r="H26" s="1"/>
  <c r="I26" s="1"/>
  <c r="D26" i="5"/>
  <c r="E26" s="1"/>
  <c r="F26" s="1"/>
  <c r="D26" i="6"/>
  <c r="E26" s="1"/>
  <c r="F26" s="1"/>
  <c r="D35" i="7"/>
  <c r="E35" s="1"/>
  <c r="H35" s="1"/>
  <c r="I35" s="1"/>
  <c r="D35" i="6"/>
  <c r="E35" s="1"/>
  <c r="F35" s="1"/>
  <c r="G35" s="1"/>
  <c r="AN12" i="2" s="1"/>
  <c r="D35" i="5"/>
  <c r="E35" s="1"/>
  <c r="F35" s="1"/>
  <c r="D7" i="11" l="1"/>
  <c r="D11"/>
  <c r="D15"/>
  <c r="D19"/>
  <c r="D23"/>
  <c r="D29"/>
  <c r="D37"/>
  <c r="D42" s="1"/>
  <c r="D19" i="2" s="1"/>
  <c r="D28" i="11"/>
  <c r="D16" i="13"/>
  <c r="D18"/>
  <c r="D20"/>
  <c r="D22"/>
  <c r="D43" s="1"/>
  <c r="E22" i="2" s="1"/>
  <c r="D24" i="13"/>
  <c r="D26"/>
  <c r="D28"/>
  <c r="D30"/>
  <c r="D32"/>
  <c r="D34"/>
  <c r="D36"/>
  <c r="D38"/>
  <c r="D6"/>
  <c r="D8"/>
  <c r="D10"/>
  <c r="D12"/>
  <c r="D15"/>
  <c r="D17"/>
  <c r="D19"/>
  <c r="D21"/>
  <c r="D23"/>
  <c r="D25"/>
  <c r="D27"/>
  <c r="D29"/>
  <c r="D31"/>
  <c r="D33"/>
  <c r="D35"/>
  <c r="D37"/>
  <c r="D42" s="1"/>
  <c r="D22" i="2" s="1"/>
  <c r="D39" i="13"/>
  <c r="D7"/>
  <c r="D9"/>
  <c r="D41" s="1"/>
  <c r="D11"/>
  <c r="D13"/>
  <c r="D5"/>
  <c r="D14"/>
  <c r="D6" i="11"/>
  <c r="D8"/>
  <c r="D10"/>
  <c r="D12"/>
  <c r="D14"/>
  <c r="D16"/>
  <c r="D18"/>
  <c r="D20"/>
  <c r="D22"/>
  <c r="D43" s="1"/>
  <c r="E19" i="2" s="1"/>
  <c r="D24" i="11"/>
  <c r="D26"/>
  <c r="D31"/>
  <c r="D35"/>
  <c r="D39"/>
  <c r="D35" i="12"/>
  <c r="D32" i="11"/>
  <c r="D5" i="12"/>
  <c r="D13"/>
  <c r="D21"/>
  <c r="D36"/>
  <c r="C17" i="2"/>
  <c r="C19"/>
  <c r="BC149" i="14"/>
  <c r="BS149"/>
  <c r="AT149"/>
  <c r="AU149"/>
  <c r="BK149"/>
  <c r="AN149"/>
  <c r="J26" i="7"/>
  <c r="AE13" i="2" s="1"/>
  <c r="J10" i="7"/>
  <c r="O13" i="2" s="1"/>
  <c r="J11" i="7"/>
  <c r="P13" i="2" s="1"/>
  <c r="J19" i="7"/>
  <c r="X13" i="2" s="1"/>
  <c r="J28" i="7"/>
  <c r="AG13" i="2" s="1"/>
  <c r="J36" i="7"/>
  <c r="AO13" i="2" s="1"/>
  <c r="J37" i="7"/>
  <c r="AP13" i="2" s="1"/>
  <c r="J29" i="7"/>
  <c r="AH13" i="2" s="1"/>
  <c r="J20" i="7"/>
  <c r="Y13" i="2" s="1"/>
  <c r="J12" i="7"/>
  <c r="Q13" i="2" s="1"/>
  <c r="J4" i="7"/>
  <c r="I13" i="2" s="1"/>
  <c r="J33" i="7"/>
  <c r="AL13" i="2" s="1"/>
  <c r="J16" i="7"/>
  <c r="U13" i="2" s="1"/>
  <c r="D17" i="10"/>
  <c r="D9"/>
  <c r="D25"/>
  <c r="D13"/>
  <c r="P21" i="2" s="1"/>
  <c r="D21" i="10"/>
  <c r="D32"/>
  <c r="D7"/>
  <c r="J21" i="2" s="1"/>
  <c r="D11" i="10"/>
  <c r="N21" i="2" s="1"/>
  <c r="D15" i="10"/>
  <c r="R21" i="2" s="1"/>
  <c r="D19" i="10"/>
  <c r="D23"/>
  <c r="D28"/>
  <c r="D36"/>
  <c r="J35" i="7"/>
  <c r="AN13" i="2" s="1"/>
  <c r="J18" i="7"/>
  <c r="W13" i="2" s="1"/>
  <c r="J7" i="7"/>
  <c r="L13" i="2" s="1"/>
  <c r="J15" i="7"/>
  <c r="T13" i="2" s="1"/>
  <c r="J23" i="7"/>
  <c r="AB13" i="2" s="1"/>
  <c r="J32" i="7"/>
  <c r="AK13" i="2" s="1"/>
  <c r="J24" i="7"/>
  <c r="AC13" i="2" s="1"/>
  <c r="J8" i="7"/>
  <c r="M13" i="2" s="1"/>
  <c r="J27" i="7"/>
  <c r="AF13" i="2" s="1"/>
  <c r="G33" i="15"/>
  <c r="G9"/>
  <c r="F19"/>
  <c r="G150" i="14"/>
  <c r="AP150" s="1"/>
  <c r="Y150"/>
  <c r="BH150" s="1"/>
  <c r="AH150"/>
  <c r="BQ150" s="1"/>
  <c r="R150"/>
  <c r="BA150" s="1"/>
  <c r="I150"/>
  <c r="AR150" s="1"/>
  <c r="Z150"/>
  <c r="BI150" s="1"/>
  <c r="J150"/>
  <c r="AS150" s="1"/>
  <c r="AK147"/>
  <c r="AI147"/>
  <c r="BR147" s="1"/>
  <c r="W147"/>
  <c r="BF147" s="1"/>
  <c r="K147"/>
  <c r="AT147" s="1"/>
  <c r="AF147"/>
  <c r="BO147" s="1"/>
  <c r="X147"/>
  <c r="BG147" s="1"/>
  <c r="P147"/>
  <c r="AY147" s="1"/>
  <c r="H147"/>
  <c r="AQ147" s="1"/>
  <c r="AE147"/>
  <c r="BN147" s="1"/>
  <c r="Q147"/>
  <c r="AZ147" s="1"/>
  <c r="AJ147"/>
  <c r="BS147" s="1"/>
  <c r="AB147"/>
  <c r="BK147" s="1"/>
  <c r="T147"/>
  <c r="BC147" s="1"/>
  <c r="L147"/>
  <c r="AU147" s="1"/>
  <c r="D14" i="17"/>
  <c r="R25" i="2" s="1"/>
  <c r="D30" i="17"/>
  <c r="AH25" i="2" s="1"/>
  <c r="E52" i="16"/>
  <c r="E23" i="2" s="1"/>
  <c r="Y23"/>
  <c r="G22" i="6"/>
  <c r="AA12" i="2" s="1"/>
  <c r="G17" i="6"/>
  <c r="V12" i="2" s="1"/>
  <c r="G34" i="6"/>
  <c r="AM12" i="2" s="1"/>
  <c r="G33" i="6"/>
  <c r="AL12" i="2" s="1"/>
  <c r="G8" i="6"/>
  <c r="M12" i="2" s="1"/>
  <c r="D7" i="12"/>
  <c r="D11"/>
  <c r="D15"/>
  <c r="D19"/>
  <c r="D23"/>
  <c r="D28"/>
  <c r="D29"/>
  <c r="D33"/>
  <c r="D37"/>
  <c r="D6"/>
  <c r="D8"/>
  <c r="D10"/>
  <c r="D12"/>
  <c r="D14"/>
  <c r="D16"/>
  <c r="D18"/>
  <c r="D20"/>
  <c r="D22"/>
  <c r="D24"/>
  <c r="D26"/>
  <c r="D32"/>
  <c r="D34"/>
  <c r="D30"/>
  <c r="D36" i="20"/>
  <c r="AP24" i="2" s="1"/>
  <c r="D35" i="20"/>
  <c r="AO24" i="2" s="1"/>
  <c r="D34" i="20"/>
  <c r="AN24" i="2" s="1"/>
  <c r="D33" i="20"/>
  <c r="AM24" i="2" s="1"/>
  <c r="D32" i="20"/>
  <c r="AL24" i="2" s="1"/>
  <c r="D31" i="20"/>
  <c r="AK24" i="2" s="1"/>
  <c r="D30" i="20"/>
  <c r="AJ24" i="2" s="1"/>
  <c r="D29" i="20"/>
  <c r="AI24" i="2" s="1"/>
  <c r="D28" i="20"/>
  <c r="AH24" i="2" s="1"/>
  <c r="D27" i="20"/>
  <c r="AG24" i="2" s="1"/>
  <c r="D26" i="20"/>
  <c r="AF24" i="2" s="1"/>
  <c r="D25" i="20"/>
  <c r="AE24" i="2" s="1"/>
  <c r="D24" i="20"/>
  <c r="AD24" i="2" s="1"/>
  <c r="D23" i="20"/>
  <c r="AC24" i="2" s="1"/>
  <c r="D22" i="20"/>
  <c r="AB24" i="2" s="1"/>
  <c r="D21" i="20"/>
  <c r="AA24" i="2" s="1"/>
  <c r="D20" i="20"/>
  <c r="Z24" i="2" s="1"/>
  <c r="D19" i="20"/>
  <c r="Y24" i="2" s="1"/>
  <c r="D18" i="20"/>
  <c r="X24" i="2" s="1"/>
  <c r="D17" i="20"/>
  <c r="W24" i="2" s="1"/>
  <c r="D16" i="20"/>
  <c r="V24" i="2" s="1"/>
  <c r="D15" i="20"/>
  <c r="U24" i="2" s="1"/>
  <c r="D14" i="20"/>
  <c r="T24" i="2" s="1"/>
  <c r="D13" i="20"/>
  <c r="S24" i="2" s="1"/>
  <c r="D12" i="20"/>
  <c r="R24" i="2" s="1"/>
  <c r="D11" i="20"/>
  <c r="Q24" i="2" s="1"/>
  <c r="D10" i="20"/>
  <c r="P24" i="2" s="1"/>
  <c r="D9" i="20"/>
  <c r="O24" i="2" s="1"/>
  <c r="D9" i="4"/>
  <c r="O14" i="2" s="1"/>
  <c r="D8" i="20"/>
  <c r="N24" i="2" s="1"/>
  <c r="D8" i="4"/>
  <c r="N14" i="2" s="1"/>
  <c r="D7" i="20"/>
  <c r="M24" i="2" s="1"/>
  <c r="D7" i="4"/>
  <c r="M14" i="2" s="1"/>
  <c r="D6" i="20"/>
  <c r="L24" i="2" s="1"/>
  <c r="D6" i="4"/>
  <c r="L14" i="2" s="1"/>
  <c r="D5" i="20"/>
  <c r="K24" i="2" s="1"/>
  <c r="D5" i="4"/>
  <c r="K14" i="2" s="1"/>
  <c r="D4" i="20"/>
  <c r="J24" i="2" s="1"/>
  <c r="D4" i="4"/>
  <c r="J14" i="2" s="1"/>
  <c r="D3" i="20"/>
  <c r="I24" i="2" s="1"/>
  <c r="D3" i="4"/>
  <c r="I14" i="2" s="1"/>
  <c r="C22"/>
  <c r="G6" i="6"/>
  <c r="K12" i="2" s="1"/>
  <c r="H149" i="14"/>
  <c r="AQ149" s="1"/>
  <c r="P149"/>
  <c r="AY149" s="1"/>
  <c r="X149"/>
  <c r="BG149" s="1"/>
  <c r="AF149"/>
  <c r="BO149" s="1"/>
  <c r="F150"/>
  <c r="AO150" s="1"/>
  <c r="N150"/>
  <c r="AW150" s="1"/>
  <c r="V150"/>
  <c r="BE150" s="1"/>
  <c r="AD150"/>
  <c r="BM150" s="1"/>
  <c r="AL150"/>
  <c r="BU150" s="1"/>
  <c r="I147"/>
  <c r="AR147" s="1"/>
  <c r="O147"/>
  <c r="AX147" s="1"/>
  <c r="S147"/>
  <c r="BB147" s="1"/>
  <c r="AA147"/>
  <c r="BJ147" s="1"/>
  <c r="AG147"/>
  <c r="BP147" s="1"/>
  <c r="AM147"/>
  <c r="BV147" s="1"/>
  <c r="AA149"/>
  <c r="BJ149" s="1"/>
  <c r="Q150"/>
  <c r="AZ150" s="1"/>
  <c r="AG150"/>
  <c r="BP150" s="1"/>
  <c r="G3" i="6"/>
  <c r="H12" i="2" s="1"/>
  <c r="G4" i="5"/>
  <c r="I11" i="2" s="1"/>
  <c r="E3" i="8"/>
  <c r="H15" i="2" s="1"/>
  <c r="E30" i="8"/>
  <c r="AI15" i="2" s="1"/>
  <c r="E22" i="8"/>
  <c r="AA15" i="2" s="1"/>
  <c r="E14" i="8"/>
  <c r="S15" i="2" s="1"/>
  <c r="E6" i="8"/>
  <c r="K15" i="2" s="1"/>
  <c r="E34" i="8"/>
  <c r="AM15" i="2" s="1"/>
  <c r="E26" i="8"/>
  <c r="AE15" i="2" s="1"/>
  <c r="E18" i="8"/>
  <c r="W15" i="2" s="1"/>
  <c r="E10" i="8"/>
  <c r="O15" i="2" s="1"/>
  <c r="E36" i="8"/>
  <c r="AO15" i="2" s="1"/>
  <c r="E32" i="8"/>
  <c r="AK15" i="2" s="1"/>
  <c r="E28" i="8"/>
  <c r="AG15" i="2" s="1"/>
  <c r="E24" i="8"/>
  <c r="AC15" i="2" s="1"/>
  <c r="E20" i="8"/>
  <c r="Y15" i="2" s="1"/>
  <c r="E16" i="8"/>
  <c r="U15" i="2" s="1"/>
  <c r="E12" i="8"/>
  <c r="Q15" i="2" s="1"/>
  <c r="E8" i="8"/>
  <c r="M15" i="2" s="1"/>
  <c r="E4" i="8"/>
  <c r="I15" i="2" s="1"/>
  <c r="E37" i="8"/>
  <c r="AP15" i="2" s="1"/>
  <c r="E35" i="8"/>
  <c r="AN15" i="2" s="1"/>
  <c r="E33" i="8"/>
  <c r="AL15" i="2" s="1"/>
  <c r="E31" i="8"/>
  <c r="AJ15" i="2" s="1"/>
  <c r="E29" i="8"/>
  <c r="AH15" i="2" s="1"/>
  <c r="E27" i="8"/>
  <c r="AF15" i="2" s="1"/>
  <c r="E25" i="8"/>
  <c r="AD15" i="2" s="1"/>
  <c r="E23" i="8"/>
  <c r="AB15" i="2" s="1"/>
  <c r="E21" i="8"/>
  <c r="Z15" i="2" s="1"/>
  <c r="E19" i="8"/>
  <c r="X15" i="2" s="1"/>
  <c r="E17" i="8"/>
  <c r="V15" i="2" s="1"/>
  <c r="E15" i="8"/>
  <c r="T15" i="2" s="1"/>
  <c r="E13" i="8"/>
  <c r="R15" i="2" s="1"/>
  <c r="E11" i="8"/>
  <c r="P15" i="2" s="1"/>
  <c r="E9" i="8"/>
  <c r="N15" i="2" s="1"/>
  <c r="E7" i="8"/>
  <c r="L15" i="2" s="1"/>
  <c r="G36" i="6"/>
  <c r="AO12" i="2" s="1"/>
  <c r="G28" i="6"/>
  <c r="AG12" i="2" s="1"/>
  <c r="G24" i="6"/>
  <c r="AC12" i="2" s="1"/>
  <c r="G16" i="6"/>
  <c r="U12" i="2" s="1"/>
  <c r="G10" i="6"/>
  <c r="O12" i="2" s="1"/>
  <c r="G32" i="6"/>
  <c r="AK12" i="2" s="1"/>
  <c r="G26" i="6"/>
  <c r="AE12" i="2" s="1"/>
  <c r="G18" i="6"/>
  <c r="W12" i="2" s="1"/>
  <c r="G12" i="6"/>
  <c r="Q12" i="2" s="1"/>
  <c r="G37" i="5"/>
  <c r="AP11" i="2" s="1"/>
  <c r="G35" i="5"/>
  <c r="AN11" i="2" s="1"/>
  <c r="G33" i="5"/>
  <c r="AL11" i="2" s="1"/>
  <c r="G31" i="5"/>
  <c r="AJ11" i="2" s="1"/>
  <c r="G29" i="5"/>
  <c r="AH11" i="2" s="1"/>
  <c r="G27" i="5"/>
  <c r="AF11" i="2" s="1"/>
  <c r="G25" i="5"/>
  <c r="AD11" i="2" s="1"/>
  <c r="G23" i="5"/>
  <c r="AB11" i="2" s="1"/>
  <c r="G19" i="5"/>
  <c r="X11" i="2" s="1"/>
  <c r="G15" i="5"/>
  <c r="T11" i="2" s="1"/>
  <c r="G11" i="5"/>
  <c r="P11" i="2" s="1"/>
  <c r="G7" i="5"/>
  <c r="L11" i="2" s="1"/>
  <c r="G5" i="5"/>
  <c r="J11" i="2" s="1"/>
  <c r="G3" i="5"/>
  <c r="H11" i="2" s="1"/>
  <c r="G36" i="5"/>
  <c r="AO11" i="2" s="1"/>
  <c r="G32" i="5"/>
  <c r="AK11" i="2" s="1"/>
  <c r="G28" i="5"/>
  <c r="AG11" i="2" s="1"/>
  <c r="G26" i="5"/>
  <c r="AE11" i="2" s="1"/>
  <c r="G24" i="5"/>
  <c r="AC11" i="2" s="1"/>
  <c r="G20" i="5"/>
  <c r="Y11" i="2" s="1"/>
  <c r="G18" i="5"/>
  <c r="W11" i="2" s="1"/>
  <c r="G16" i="5"/>
  <c r="U11" i="2" s="1"/>
  <c r="G14" i="5"/>
  <c r="S11" i="2" s="1"/>
  <c r="G10" i="5"/>
  <c r="O11" i="2" s="1"/>
  <c r="G8" i="5"/>
  <c r="M11" i="2" s="1"/>
  <c r="G6" i="5"/>
  <c r="K11" i="2" s="1"/>
  <c r="H3" i="7"/>
  <c r="I3" s="1"/>
  <c r="J3" s="1"/>
  <c r="H13" i="2" s="1"/>
  <c r="S149" i="14"/>
  <c r="BB149" s="1"/>
  <c r="AI149"/>
  <c r="BR149" s="1"/>
  <c r="M150"/>
  <c r="AV150" s="1"/>
  <c r="U150"/>
  <c r="BD150" s="1"/>
  <c r="AC150"/>
  <c r="BL150" s="1"/>
  <c r="AK150"/>
  <c r="BT150" s="1"/>
  <c r="D30" i="11"/>
  <c r="D34"/>
  <c r="O149" i="14"/>
  <c r="AX149" s="1"/>
  <c r="W149"/>
  <c r="BF149" s="1"/>
  <c r="BF151" s="1"/>
  <c r="AE149"/>
  <c r="BN149" s="1"/>
  <c r="AM149"/>
  <c r="BV149" s="1"/>
  <c r="K150"/>
  <c r="AT150" s="1"/>
  <c r="O150"/>
  <c r="AX150" s="1"/>
  <c r="S150"/>
  <c r="W150"/>
  <c r="BF150" s="1"/>
  <c r="AA150"/>
  <c r="BJ150" s="1"/>
  <c r="AE150"/>
  <c r="BN150" s="1"/>
  <c r="AI150"/>
  <c r="BR150" s="1"/>
  <c r="AM150"/>
  <c r="BV150" s="1"/>
  <c r="BV151" s="1"/>
  <c r="D33" i="10"/>
  <c r="D38" i="11"/>
  <c r="D39" i="10"/>
  <c r="D35"/>
  <c r="BT149" i="14"/>
  <c r="BT147"/>
  <c r="E51" i="16"/>
  <c r="D23" i="2" s="1"/>
  <c r="AK151" i="14"/>
  <c r="AM151"/>
  <c r="D6" i="10"/>
  <c r="I21" i="2" s="1"/>
  <c r="D8" i="10"/>
  <c r="K21" i="2" s="1"/>
  <c r="D10" i="10"/>
  <c r="M21" i="2" s="1"/>
  <c r="D12" i="10"/>
  <c r="O21" i="2" s="1"/>
  <c r="D14" i="10"/>
  <c r="Q21" i="2" s="1"/>
  <c r="D16" i="10"/>
  <c r="D18"/>
  <c r="D20"/>
  <c r="D22"/>
  <c r="D43" s="1"/>
  <c r="E21" i="2" s="1"/>
  <c r="D24" i="10"/>
  <c r="D26"/>
  <c r="D30"/>
  <c r="D34"/>
  <c r="D38"/>
  <c r="F147" i="14"/>
  <c r="J147"/>
  <c r="N147"/>
  <c r="R147"/>
  <c r="BA147" s="1"/>
  <c r="V147"/>
  <c r="Z147"/>
  <c r="AD147"/>
  <c r="AH147"/>
  <c r="AL147"/>
  <c r="F149"/>
  <c r="AO149" s="1"/>
  <c r="J149"/>
  <c r="AS149" s="1"/>
  <c r="N149"/>
  <c r="AW149" s="1"/>
  <c r="R149"/>
  <c r="BA149" s="1"/>
  <c r="V149"/>
  <c r="BE149" s="1"/>
  <c r="Z149"/>
  <c r="BI149" s="1"/>
  <c r="AD149"/>
  <c r="BM149" s="1"/>
  <c r="AH149"/>
  <c r="BQ149" s="1"/>
  <c r="AL149"/>
  <c r="BU149" s="1"/>
  <c r="H150"/>
  <c r="AQ150" s="1"/>
  <c r="L150"/>
  <c r="AU150" s="1"/>
  <c r="P150"/>
  <c r="AY150" s="1"/>
  <c r="AY151" s="1"/>
  <c r="P155" s="1"/>
  <c r="P156" s="1"/>
  <c r="S7" i="2" s="1"/>
  <c r="T150" i="14"/>
  <c r="X150"/>
  <c r="BG150" s="1"/>
  <c r="AB150"/>
  <c r="AF150"/>
  <c r="BO150" s="1"/>
  <c r="AJ150"/>
  <c r="E147"/>
  <c r="AN147" s="1"/>
  <c r="M147"/>
  <c r="AV147" s="1"/>
  <c r="AV151" s="1"/>
  <c r="U147"/>
  <c r="BD147" s="1"/>
  <c r="Y147"/>
  <c r="AC147"/>
  <c r="I149"/>
  <c r="M149"/>
  <c r="AV149" s="1"/>
  <c r="Q149"/>
  <c r="AZ149" s="1"/>
  <c r="U149"/>
  <c r="BD149" s="1"/>
  <c r="Y149"/>
  <c r="BH149" s="1"/>
  <c r="AC149"/>
  <c r="BL149" s="1"/>
  <c r="AG149"/>
  <c r="D29" i="10"/>
  <c r="D37"/>
  <c r="D42" s="1"/>
  <c r="D21" i="2" s="1"/>
  <c r="D31" i="10"/>
  <c r="D5"/>
  <c r="H21" i="2" s="1"/>
  <c r="D10" i="17"/>
  <c r="N25" i="2" s="1"/>
  <c r="D18" i="17"/>
  <c r="V25" i="2" s="1"/>
  <c r="D26" i="17"/>
  <c r="AD25" i="2" s="1"/>
  <c r="D34" i="17"/>
  <c r="AL25" i="2" s="1"/>
  <c r="D5" i="17"/>
  <c r="I25" i="2" s="1"/>
  <c r="L35" i="15"/>
  <c r="M35" s="1"/>
  <c r="D34" i="7"/>
  <c r="E34" s="1"/>
  <c r="H34" s="1"/>
  <c r="I34" s="1"/>
  <c r="J34" s="1"/>
  <c r="AM13" i="2" s="1"/>
  <c r="D34" i="5"/>
  <c r="E34" s="1"/>
  <c r="F34" s="1"/>
  <c r="G34" s="1"/>
  <c r="AM11" i="2" s="1"/>
  <c r="L31" i="15"/>
  <c r="M31" s="1"/>
  <c r="D30" i="7"/>
  <c r="E30" s="1"/>
  <c r="H30" s="1"/>
  <c r="I30" s="1"/>
  <c r="J30" s="1"/>
  <c r="AI13" i="2" s="1"/>
  <c r="D30" i="5"/>
  <c r="E30" s="1"/>
  <c r="F30" s="1"/>
  <c r="G30" s="1"/>
  <c r="AI11" i="2" s="1"/>
  <c r="L26" i="15"/>
  <c r="M26" s="1"/>
  <c r="D25" i="7"/>
  <c r="E25" s="1"/>
  <c r="H25" s="1"/>
  <c r="I25" s="1"/>
  <c r="J25" s="1"/>
  <c r="AD13" i="2" s="1"/>
  <c r="D25" i="6"/>
  <c r="E25" s="1"/>
  <c r="F25" s="1"/>
  <c r="G25" s="1"/>
  <c r="AD12" i="2" s="1"/>
  <c r="L22" i="15"/>
  <c r="M22" s="1"/>
  <c r="D21" i="7"/>
  <c r="E21" s="1"/>
  <c r="H21" s="1"/>
  <c r="I21" s="1"/>
  <c r="J21" s="1"/>
  <c r="Z13" i="2" s="1"/>
  <c r="D21" i="6"/>
  <c r="E21" s="1"/>
  <c r="F21" s="1"/>
  <c r="G21" s="1"/>
  <c r="Z12" i="2" s="1"/>
  <c r="L18" i="15"/>
  <c r="M18" s="1"/>
  <c r="D17" i="7"/>
  <c r="E17" s="1"/>
  <c r="H17" s="1"/>
  <c r="I17" s="1"/>
  <c r="J17" s="1"/>
  <c r="V13" i="2" s="1"/>
  <c r="D17" i="5"/>
  <c r="E17" s="1"/>
  <c r="F17" s="1"/>
  <c r="G17" s="1"/>
  <c r="V11" i="2" s="1"/>
  <c r="L14" i="15"/>
  <c r="M14" s="1"/>
  <c r="D13" i="7"/>
  <c r="E13" s="1"/>
  <c r="H13" s="1"/>
  <c r="I13" s="1"/>
  <c r="J13" s="1"/>
  <c r="R13" i="2" s="1"/>
  <c r="D13" i="6"/>
  <c r="E13" s="1"/>
  <c r="F13" s="1"/>
  <c r="G13" s="1"/>
  <c r="R12" i="2" s="1"/>
  <c r="L10" i="15"/>
  <c r="M10" s="1"/>
  <c r="D9" i="7"/>
  <c r="E9" s="1"/>
  <c r="H9" s="1"/>
  <c r="I9" s="1"/>
  <c r="J9" s="1"/>
  <c r="N13" i="2" s="1"/>
  <c r="D9" i="5"/>
  <c r="E9" s="1"/>
  <c r="F9" s="1"/>
  <c r="G9" s="1"/>
  <c r="N11" i="2" s="1"/>
  <c r="L6" i="15"/>
  <c r="M6" s="1"/>
  <c r="D5" i="7"/>
  <c r="E5" s="1"/>
  <c r="H5" s="1"/>
  <c r="I5" s="1"/>
  <c r="J5" s="1"/>
  <c r="J13" i="2" s="1"/>
  <c r="D5" i="6"/>
  <c r="E5" s="1"/>
  <c r="F5" s="1"/>
  <c r="G5" s="1"/>
  <c r="J12" i="2" s="1"/>
  <c r="L15" i="15"/>
  <c r="M15" s="1"/>
  <c r="D14" i="7"/>
  <c r="E14" s="1"/>
  <c r="H14" s="1"/>
  <c r="I14" s="1"/>
  <c r="J14" s="1"/>
  <c r="S13" i="2" s="1"/>
  <c r="D14" i="6"/>
  <c r="E14" s="1"/>
  <c r="F14" s="1"/>
  <c r="G14" s="1"/>
  <c r="S12" i="2" s="1"/>
  <c r="L23" i="15"/>
  <c r="M23" s="1"/>
  <c r="D22" i="7"/>
  <c r="E22" s="1"/>
  <c r="H22" s="1"/>
  <c r="I22" s="1"/>
  <c r="J22" s="1"/>
  <c r="AA13" i="2" s="1"/>
  <c r="D22" i="5"/>
  <c r="E22" s="1"/>
  <c r="F22" s="1"/>
  <c r="G22" s="1"/>
  <c r="AA11" i="2" s="1"/>
  <c r="L32" i="15"/>
  <c r="M32" s="1"/>
  <c r="D31" i="7"/>
  <c r="E31" s="1"/>
  <c r="H31" s="1"/>
  <c r="I31" s="1"/>
  <c r="J31" s="1"/>
  <c r="AJ13" i="2" s="1"/>
  <c r="D31" i="6"/>
  <c r="E31" s="1"/>
  <c r="F31" s="1"/>
  <c r="G31" s="1"/>
  <c r="AJ12" i="2" s="1"/>
  <c r="AQ148" i="14"/>
  <c r="AU148"/>
  <c r="AU151" s="1"/>
  <c r="BG148"/>
  <c r="BO148"/>
  <c r="BO151" s="1"/>
  <c r="BD151"/>
  <c r="G26" i="15"/>
  <c r="G13"/>
  <c r="L5"/>
  <c r="M5" s="1"/>
  <c r="D4" i="6"/>
  <c r="E4" s="1"/>
  <c r="F4" s="1"/>
  <c r="G4" s="1"/>
  <c r="I12" i="2" s="1"/>
  <c r="L13" i="15"/>
  <c r="M13" s="1"/>
  <c r="D12" i="5"/>
  <c r="E12" s="1"/>
  <c r="F12" s="1"/>
  <c r="G12" s="1"/>
  <c r="Q11" i="2" s="1"/>
  <c r="L21" i="15"/>
  <c r="M21" s="1"/>
  <c r="D20" i="6"/>
  <c r="E20" s="1"/>
  <c r="F20" s="1"/>
  <c r="G20" s="1"/>
  <c r="Y12" i="2" s="1"/>
  <c r="L30" i="15"/>
  <c r="M30" s="1"/>
  <c r="D29" i="6"/>
  <c r="E29" s="1"/>
  <c r="F29" s="1"/>
  <c r="G29" s="1"/>
  <c r="AH12" i="2" s="1"/>
  <c r="L38" i="15"/>
  <c r="M38" s="1"/>
  <c r="D37" i="6"/>
  <c r="E37" s="1"/>
  <c r="F37" s="1"/>
  <c r="G37" s="1"/>
  <c r="AP12" i="2" s="1"/>
  <c r="BN148" i="14"/>
  <c r="AE151"/>
  <c r="D13" i="5"/>
  <c r="E13" s="1"/>
  <c r="F13" s="1"/>
  <c r="G13" s="1"/>
  <c r="R11" i="2" s="1"/>
  <c r="D21" i="5"/>
  <c r="E21" s="1"/>
  <c r="F21" s="1"/>
  <c r="G21" s="1"/>
  <c r="Z11" i="2" s="1"/>
  <c r="D30" i="6"/>
  <c r="E30" s="1"/>
  <c r="F30" s="1"/>
  <c r="G30" s="1"/>
  <c r="AI12" i="2" s="1"/>
  <c r="AO147" i="14"/>
  <c r="AO151" s="1"/>
  <c r="N16" i="1"/>
  <c r="C16" s="1"/>
  <c r="C25"/>
  <c r="X19" i="14"/>
  <c r="O96"/>
  <c r="X15"/>
  <c r="O92"/>
  <c r="D6" i="7"/>
  <c r="E6" s="1"/>
  <c r="H6" s="1"/>
  <c r="I6" s="1"/>
  <c r="J6" s="1"/>
  <c r="K13" i="2" s="1"/>
  <c r="C15" i="1"/>
  <c r="O15"/>
  <c r="P15" s="1"/>
  <c r="Q15" s="1"/>
  <c r="C28"/>
  <c r="O28"/>
  <c r="P28" s="1"/>
  <c r="Q28" s="1"/>
  <c r="M28"/>
  <c r="AC22" i="14"/>
  <c r="AC99" s="1"/>
  <c r="X99"/>
  <c r="X17"/>
  <c r="O94"/>
  <c r="O151"/>
  <c r="E150"/>
  <c r="G149"/>
  <c r="AP149" s="1"/>
  <c r="G147"/>
  <c r="B38" i="2"/>
  <c r="P5" i="1"/>
  <c r="P9"/>
  <c r="P13"/>
  <c r="O25"/>
  <c r="P26"/>
  <c r="P31"/>
  <c r="P35"/>
  <c r="C2"/>
  <c r="F37" i="15"/>
  <c r="F34"/>
  <c r="C36" i="17"/>
  <c r="D36" s="1"/>
  <c r="C32"/>
  <c r="D32" s="1"/>
  <c r="AJ25" i="2" s="1"/>
  <c r="C28" i="17"/>
  <c r="D28" s="1"/>
  <c r="AF25" i="2" s="1"/>
  <c r="C24" i="17"/>
  <c r="D24" s="1"/>
  <c r="AB25" i="2" s="1"/>
  <c r="C20" i="17"/>
  <c r="D20" s="1"/>
  <c r="X25" i="2" s="1"/>
  <c r="C16" i="17"/>
  <c r="D16" s="1"/>
  <c r="T25" i="2" s="1"/>
  <c r="C12" i="17"/>
  <c r="D12" s="1"/>
  <c r="P25" i="2" s="1"/>
  <c r="P23" i="1"/>
  <c r="P21"/>
  <c r="P19"/>
  <c r="P17"/>
  <c r="P2"/>
  <c r="P25"/>
  <c r="P3"/>
  <c r="P7"/>
  <c r="P11"/>
  <c r="Q25"/>
  <c r="P29"/>
  <c r="C4" i="17"/>
  <c r="D4" s="1"/>
  <c r="H25" i="2" s="1"/>
  <c r="C37" i="17"/>
  <c r="D37" s="1"/>
  <c r="AO25" i="2" s="1"/>
  <c r="C35" i="17"/>
  <c r="D35" s="1"/>
  <c r="AM25" i="2" s="1"/>
  <c r="C33" i="17"/>
  <c r="D33" s="1"/>
  <c r="AK25" i="2" s="1"/>
  <c r="C31" i="17"/>
  <c r="D31" s="1"/>
  <c r="AI25" i="2" s="1"/>
  <c r="C29" i="17"/>
  <c r="D29" s="1"/>
  <c r="AG25" i="2" s="1"/>
  <c r="C27" i="17"/>
  <c r="D27" s="1"/>
  <c r="AE25" i="2" s="1"/>
  <c r="C25" i="17"/>
  <c r="D25" s="1"/>
  <c r="AC25" i="2" s="1"/>
  <c r="C23" i="17"/>
  <c r="D23" s="1"/>
  <c r="AA25" i="2" s="1"/>
  <c r="C21" i="17"/>
  <c r="D21" s="1"/>
  <c r="C19"/>
  <c r="D19" s="1"/>
  <c r="W25" i="2" s="1"/>
  <c r="C17" i="17"/>
  <c r="D17" s="1"/>
  <c r="U25" i="2" s="1"/>
  <c r="C15" i="17"/>
  <c r="D15" s="1"/>
  <c r="S25" i="2" s="1"/>
  <c r="C13" i="17"/>
  <c r="D13" s="1"/>
  <c r="Q25" i="2" s="1"/>
  <c r="C11" i="17"/>
  <c r="D11" s="1"/>
  <c r="O25" i="2" s="1"/>
  <c r="C9" i="17"/>
  <c r="D9" s="1"/>
  <c r="M25" i="2" s="1"/>
  <c r="C7" i="17"/>
  <c r="D7" s="1"/>
  <c r="K25" i="2" s="1"/>
  <c r="D41" i="10" l="1"/>
  <c r="C21" i="2" s="1"/>
  <c r="L21"/>
  <c r="M151" i="14"/>
  <c r="M2" i="15"/>
  <c r="BG151" i="14"/>
  <c r="AQ151"/>
  <c r="H155" s="1"/>
  <c r="H156" s="1"/>
  <c r="K7" i="2" s="1"/>
  <c r="N13" i="15"/>
  <c r="N22"/>
  <c r="N10"/>
  <c r="AZ151" i="14"/>
  <c r="AT151"/>
  <c r="N5" i="15"/>
  <c r="M1"/>
  <c r="N30" s="1"/>
  <c r="O30" s="1"/>
  <c r="AH9" i="2" s="1"/>
  <c r="G6" i="15"/>
  <c r="G18"/>
  <c r="G29"/>
  <c r="W151" i="14"/>
  <c r="U151"/>
  <c r="R151"/>
  <c r="BN151"/>
  <c r="AF151"/>
  <c r="X151"/>
  <c r="L151"/>
  <c r="H151"/>
  <c r="K151"/>
  <c r="BR151"/>
  <c r="BJ151"/>
  <c r="D42" i="17"/>
  <c r="E25" i="2" s="1"/>
  <c r="Y25"/>
  <c r="AA151" i="14"/>
  <c r="AX151"/>
  <c r="O155" s="1"/>
  <c r="O156" s="1"/>
  <c r="R7" i="2" s="1"/>
  <c r="D41" i="17"/>
  <c r="D25" i="2" s="1"/>
  <c r="AN25"/>
  <c r="BT151" i="14"/>
  <c r="BB150"/>
  <c r="BB151" s="1"/>
  <c r="S151"/>
  <c r="AI151"/>
  <c r="BP149"/>
  <c r="BP151" s="1"/>
  <c r="AG151"/>
  <c r="AR149"/>
  <c r="AR151" s="1"/>
  <c r="I151"/>
  <c r="BH147"/>
  <c r="BH151" s="1"/>
  <c r="Y155" s="1"/>
  <c r="Y156" s="1"/>
  <c r="AB7" i="2" s="1"/>
  <c r="Y151" i="14"/>
  <c r="BS150"/>
  <c r="BS151" s="1"/>
  <c r="AJ151"/>
  <c r="BK150"/>
  <c r="BK151" s="1"/>
  <c r="AB151"/>
  <c r="BC150"/>
  <c r="BC151" s="1"/>
  <c r="T151"/>
  <c r="BQ147"/>
  <c r="BQ151" s="1"/>
  <c r="AH151"/>
  <c r="BI147"/>
  <c r="BI151" s="1"/>
  <c r="Z151"/>
  <c r="AS147"/>
  <c r="AS151" s="1"/>
  <c r="J151"/>
  <c r="BA151"/>
  <c r="BL147"/>
  <c r="BL151" s="1"/>
  <c r="AC155" s="1"/>
  <c r="AC156" s="1"/>
  <c r="AF7" i="2" s="1"/>
  <c r="AC151" i="14"/>
  <c r="AL151"/>
  <c r="BU147"/>
  <c r="BU151" s="1"/>
  <c r="AL155" s="1"/>
  <c r="AL156" s="1"/>
  <c r="AO7" i="2" s="1"/>
  <c r="AD151" i="14"/>
  <c r="BM147"/>
  <c r="BM151" s="1"/>
  <c r="V151"/>
  <c r="BE147"/>
  <c r="BE151" s="1"/>
  <c r="N151"/>
  <c r="AW147"/>
  <c r="AW151" s="1"/>
  <c r="F151"/>
  <c r="Q151"/>
  <c r="P151"/>
  <c r="C41" i="1"/>
  <c r="D16" s="1"/>
  <c r="E16" s="1"/>
  <c r="V16" i="2" s="1"/>
  <c r="C40" i="1"/>
  <c r="B39" i="2"/>
  <c r="B2"/>
  <c r="AC15" i="14"/>
  <c r="AC92" s="1"/>
  <c r="X92"/>
  <c r="X96"/>
  <c r="AC19"/>
  <c r="AC96" s="1"/>
  <c r="O5" i="15"/>
  <c r="I9" i="2" s="1"/>
  <c r="O13" i="15"/>
  <c r="Q9" i="2" s="1"/>
  <c r="O22" i="15"/>
  <c r="Z9" i="2" s="1"/>
  <c r="G151" i="14"/>
  <c r="AP147"/>
  <c r="AP151" s="1"/>
  <c r="AN150"/>
  <c r="AN151" s="1"/>
  <c r="E151"/>
  <c r="AC17"/>
  <c r="AC94" s="1"/>
  <c r="X94"/>
  <c r="O10" i="15"/>
  <c r="N9" i="2" s="1"/>
  <c r="D28" i="1" l="1"/>
  <c r="E28" s="1"/>
  <c r="AH16" i="2" s="1"/>
  <c r="N26" i="15"/>
  <c r="O26" s="1"/>
  <c r="AD9" i="2" s="1"/>
  <c r="N32" i="15"/>
  <c r="O32" s="1"/>
  <c r="AJ9" i="2" s="1"/>
  <c r="N6" i="15"/>
  <c r="O6" s="1"/>
  <c r="J9" i="2" s="1"/>
  <c r="N7" i="15"/>
  <c r="O7" s="1"/>
  <c r="K9" i="2" s="1"/>
  <c r="N17" i="15"/>
  <c r="O17" s="1"/>
  <c r="U9" i="2" s="1"/>
  <c r="N34" i="15"/>
  <c r="O34" s="1"/>
  <c r="AL9" i="2" s="1"/>
  <c r="N11" i="15"/>
  <c r="O11" s="1"/>
  <c r="O9" i="2" s="1"/>
  <c r="N19" i="15"/>
  <c r="O19" s="1"/>
  <c r="W9" i="2" s="1"/>
  <c r="N28" i="15"/>
  <c r="O28" s="1"/>
  <c r="AF9" i="2" s="1"/>
  <c r="N36" i="15"/>
  <c r="O36" s="1"/>
  <c r="N8"/>
  <c r="O8" s="1"/>
  <c r="L9" i="2" s="1"/>
  <c r="N16" i="15"/>
  <c r="O16" s="1"/>
  <c r="T9" i="2" s="1"/>
  <c r="N25" i="15"/>
  <c r="O25" s="1"/>
  <c r="AC9" i="2" s="1"/>
  <c r="N33" i="15"/>
  <c r="O33" s="1"/>
  <c r="AK9" i="2" s="1"/>
  <c r="N27" i="15"/>
  <c r="O27" s="1"/>
  <c r="AE9" i="2" s="1"/>
  <c r="N9" i="15"/>
  <c r="O9" s="1"/>
  <c r="M9" i="2" s="1"/>
  <c r="N4" i="15"/>
  <c r="O4" s="1"/>
  <c r="H9" i="2" s="1"/>
  <c r="N24" i="15"/>
  <c r="O24" s="1"/>
  <c r="AB9" i="2" s="1"/>
  <c r="N12" i="15"/>
  <c r="O12" s="1"/>
  <c r="P9" i="2" s="1"/>
  <c r="N20" i="15"/>
  <c r="O20" s="1"/>
  <c r="X9" i="2" s="1"/>
  <c r="N29" i="15"/>
  <c r="O29" s="1"/>
  <c r="AG9" i="2" s="1"/>
  <c r="N37" i="15"/>
  <c r="O37" s="1"/>
  <c r="AO9" i="2" s="1"/>
  <c r="N35" i="15"/>
  <c r="O35" s="1"/>
  <c r="AM9" i="2" s="1"/>
  <c r="N18" i="15"/>
  <c r="O18" s="1"/>
  <c r="V9" i="2" s="1"/>
  <c r="N15" i="15"/>
  <c r="O15" s="1"/>
  <c r="S9" i="2" s="1"/>
  <c r="N31" i="15"/>
  <c r="O31" s="1"/>
  <c r="AI9" i="2" s="1"/>
  <c r="N14" i="15"/>
  <c r="O14" s="1"/>
  <c r="R9" i="2" s="1"/>
  <c r="N23" i="15"/>
  <c r="O23" s="1"/>
  <c r="AA9" i="2" s="1"/>
  <c r="N21" i="15"/>
  <c r="O21" s="1"/>
  <c r="N38"/>
  <c r="O38" s="1"/>
  <c r="AP9" i="2" s="1"/>
  <c r="G1" i="15"/>
  <c r="G2"/>
  <c r="D2" i="1"/>
  <c r="E2" s="1"/>
  <c r="H16" i="2" s="1"/>
  <c r="O41" i="15"/>
  <c r="D9" i="2" s="1"/>
  <c r="AN9"/>
  <c r="O42" i="15"/>
  <c r="E9" i="2" s="1"/>
  <c r="Y9"/>
  <c r="D25" i="1"/>
  <c r="E25" s="1"/>
  <c r="AE16" i="2" s="1"/>
  <c r="D15" i="1"/>
  <c r="E15" s="1"/>
  <c r="U16" i="2" s="1"/>
  <c r="B40"/>
  <c r="D6" i="1"/>
  <c r="E6" s="1"/>
  <c r="L16" i="2" s="1"/>
  <c r="D14" i="1"/>
  <c r="E14" s="1"/>
  <c r="T16" i="2" s="1"/>
  <c r="D22" i="1"/>
  <c r="E22" s="1"/>
  <c r="AB16" i="2" s="1"/>
  <c r="D5" i="1"/>
  <c r="E5" s="1"/>
  <c r="K16" i="2" s="1"/>
  <c r="D13" i="1"/>
  <c r="E13" s="1"/>
  <c r="S16" i="2" s="1"/>
  <c r="D29" i="1"/>
  <c r="E29" s="1"/>
  <c r="AI16" i="2" s="1"/>
  <c r="D17" i="1"/>
  <c r="E17" s="1"/>
  <c r="W16" i="2" s="1"/>
  <c r="D30" i="1"/>
  <c r="E30" s="1"/>
  <c r="AJ16" i="2" s="1"/>
  <c r="D31" i="1"/>
  <c r="E31" s="1"/>
  <c r="AK16" i="2" s="1"/>
  <c r="D23" i="1"/>
  <c r="E23" s="1"/>
  <c r="AC16" i="2" s="1"/>
  <c r="D11" i="1"/>
  <c r="E11" s="1"/>
  <c r="Q16" i="2" s="1"/>
  <c r="D36" i="1"/>
  <c r="E36" s="1"/>
  <c r="AP16" i="2" s="1"/>
  <c r="D24" i="1"/>
  <c r="E24" s="1"/>
  <c r="AD16" i="2" s="1"/>
  <c r="D3" i="1"/>
  <c r="E3" s="1"/>
  <c r="I16" i="2" s="1"/>
  <c r="D8" i="1"/>
  <c r="E8" s="1"/>
  <c r="N16" i="2" s="1"/>
  <c r="D9" i="1"/>
  <c r="E9" s="1"/>
  <c r="O16" i="2" s="1"/>
  <c r="D18" i="1"/>
  <c r="E18" s="1"/>
  <c r="X16" i="2" s="1"/>
  <c r="D26" i="1"/>
  <c r="E26" s="1"/>
  <c r="AF16" i="2" s="1"/>
  <c r="D10" i="1"/>
  <c r="E10" s="1"/>
  <c r="P16" i="2" s="1"/>
  <c r="D33" i="1"/>
  <c r="E33" s="1"/>
  <c r="AM16" i="2" s="1"/>
  <c r="D21" i="1"/>
  <c r="E21" s="1"/>
  <c r="AA16" i="2" s="1"/>
  <c r="D34" i="1"/>
  <c r="E34" s="1"/>
  <c r="AN16" i="2" s="1"/>
  <c r="D35" i="1"/>
  <c r="E35" s="1"/>
  <c r="AO16" i="2" s="1"/>
  <c r="D27" i="1"/>
  <c r="E27" s="1"/>
  <c r="AG16" i="2" s="1"/>
  <c r="D19" i="1"/>
  <c r="E19" s="1"/>
  <c r="Y16" i="2" s="1"/>
  <c r="D7" i="1"/>
  <c r="E7" s="1"/>
  <c r="M16" i="2" s="1"/>
  <c r="D32" i="1"/>
  <c r="E32" s="1"/>
  <c r="AL16" i="2" s="1"/>
  <c r="D20" i="1"/>
  <c r="E20" s="1"/>
  <c r="Z16" i="2" s="1"/>
  <c r="D4" i="1"/>
  <c r="E4" s="1"/>
  <c r="J16" i="2" s="1"/>
  <c r="D12" i="1"/>
  <c r="E12" s="1"/>
  <c r="R16" i="2" s="1"/>
  <c r="E152" i="14"/>
  <c r="E153"/>
  <c r="B39" i="5"/>
  <c r="C39" s="1"/>
  <c r="D39" s="1"/>
  <c r="C11" i="2" s="1"/>
  <c r="B39" i="8"/>
  <c r="C39" s="1"/>
  <c r="D39" s="1"/>
  <c r="C15" i="2" s="1"/>
  <c r="B39" i="6"/>
  <c r="C39" s="1"/>
  <c r="D39" s="1"/>
  <c r="C12" i="2" s="1"/>
  <c r="B40" i="15"/>
  <c r="B40" i="17"/>
  <c r="D40" s="1"/>
  <c r="C25" i="2" s="1"/>
  <c r="B38" i="1"/>
  <c r="B142" i="14"/>
  <c r="B38" i="20"/>
  <c r="B38" i="4"/>
  <c r="C13" i="2"/>
  <c r="B50" i="16"/>
  <c r="E50" s="1"/>
  <c r="H6" i="15" l="1"/>
  <c r="H4"/>
  <c r="I4" s="1"/>
  <c r="H8" i="2" s="1"/>
  <c r="H37" i="15"/>
  <c r="I37" s="1"/>
  <c r="AO8" i="2" s="1"/>
  <c r="AO28" s="1"/>
  <c r="H19" i="15"/>
  <c r="I19" s="1"/>
  <c r="W8" i="2" s="1"/>
  <c r="H28" i="15"/>
  <c r="I28" s="1"/>
  <c r="AF8" i="2" s="1"/>
  <c r="AF28" s="1"/>
  <c r="H29" i="15"/>
  <c r="I29" s="1"/>
  <c r="AG8" i="2" s="1"/>
  <c r="H7" i="15"/>
  <c r="I7" s="1"/>
  <c r="K8" i="2" s="1"/>
  <c r="H27" i="15"/>
  <c r="I27" s="1"/>
  <c r="AE8" i="2" s="1"/>
  <c r="H17" i="15"/>
  <c r="I17" s="1"/>
  <c r="U8" i="2" s="1"/>
  <c r="H14" i="15"/>
  <c r="I14" s="1"/>
  <c r="R8" i="2" s="1"/>
  <c r="H20" i="15"/>
  <c r="I20" s="1"/>
  <c r="X8" i="2" s="1"/>
  <c r="H23" i="15"/>
  <c r="I23" s="1"/>
  <c r="AA8" i="2" s="1"/>
  <c r="H11" i="15"/>
  <c r="I11" s="1"/>
  <c r="O8" i="2" s="1"/>
  <c r="H5" i="15"/>
  <c r="I5" s="1"/>
  <c r="I8" i="2" s="1"/>
  <c r="H15" i="15"/>
  <c r="I15" s="1"/>
  <c r="S8" i="2" s="1"/>
  <c r="S28" s="1"/>
  <c r="H10" i="15"/>
  <c r="I10" s="1"/>
  <c r="N8" i="2" s="1"/>
  <c r="H38" i="15"/>
  <c r="I38" s="1"/>
  <c r="AP8" i="2" s="1"/>
  <c r="H8" i="15"/>
  <c r="I8" s="1"/>
  <c r="L8" i="2" s="1"/>
  <c r="H12" i="15"/>
  <c r="I12" s="1"/>
  <c r="P8" i="2" s="1"/>
  <c r="H33" i="15"/>
  <c r="I33" s="1"/>
  <c r="AK8" i="2" s="1"/>
  <c r="H30" i="15"/>
  <c r="I30" s="1"/>
  <c r="AH8" i="2" s="1"/>
  <c r="H24" i="15"/>
  <c r="I24" s="1"/>
  <c r="AB8" i="2" s="1"/>
  <c r="AB28" s="1"/>
  <c r="H25" i="15"/>
  <c r="I25" s="1"/>
  <c r="AC8" i="2" s="1"/>
  <c r="H16" i="15"/>
  <c r="I16" s="1"/>
  <c r="T8" i="2" s="1"/>
  <c r="H26" i="15"/>
  <c r="I26" s="1"/>
  <c r="AD8" i="2" s="1"/>
  <c r="H18" i="15"/>
  <c r="I18" s="1"/>
  <c r="V8" i="2" s="1"/>
  <c r="H36" i="15"/>
  <c r="I36" s="1"/>
  <c r="H35"/>
  <c r="I35" s="1"/>
  <c r="AM8" i="2" s="1"/>
  <c r="H22" i="15"/>
  <c r="I22" s="1"/>
  <c r="Z8" i="2" s="1"/>
  <c r="H31" i="15"/>
  <c r="I31" s="1"/>
  <c r="AI8" i="2" s="1"/>
  <c r="H32" i="15"/>
  <c r="I32" s="1"/>
  <c r="AJ8" i="2" s="1"/>
  <c r="H21" i="15"/>
  <c r="I21" s="1"/>
  <c r="H9"/>
  <c r="I9" s="1"/>
  <c r="M8" i="2" s="1"/>
  <c r="H13" i="15"/>
  <c r="I13" s="1"/>
  <c r="Q8" i="2" s="1"/>
  <c r="H34" i="15"/>
  <c r="I34" s="1"/>
  <c r="AL8" i="2" s="1"/>
  <c r="R28"/>
  <c r="K28"/>
  <c r="E154" i="14"/>
  <c r="E155" s="1"/>
  <c r="E156" s="1"/>
  <c r="H7" i="2" s="1"/>
  <c r="H28" s="1"/>
  <c r="C38" i="4"/>
  <c r="D38"/>
  <c r="C14" i="2" s="1"/>
  <c r="B41"/>
  <c r="D38" i="20"/>
  <c r="C38"/>
  <c r="E38" i="1"/>
  <c r="C16" i="2" s="1"/>
  <c r="C38" i="1"/>
  <c r="D38"/>
  <c r="O40" i="15"/>
  <c r="C9" i="2" s="1"/>
  <c r="AC154" i="14"/>
  <c r="T154"/>
  <c r="T155" s="1"/>
  <c r="T156" s="1"/>
  <c r="W7" i="2" s="1"/>
  <c r="AB154" i="14"/>
  <c r="AB155" s="1"/>
  <c r="AB156" s="1"/>
  <c r="AE7" i="2" s="1"/>
  <c r="AJ154" i="14"/>
  <c r="AJ155" s="1"/>
  <c r="AJ156" s="1"/>
  <c r="AM7" i="2" s="1"/>
  <c r="AM154" i="14"/>
  <c r="AM155" s="1"/>
  <c r="AM156" s="1"/>
  <c r="AP7" i="2" s="1"/>
  <c r="AK154" i="14"/>
  <c r="AK155" s="1"/>
  <c r="AK156" s="1"/>
  <c r="AN7" i="2" s="1"/>
  <c r="J154" i="14"/>
  <c r="J155" s="1"/>
  <c r="J156" s="1"/>
  <c r="M7" i="2" s="1"/>
  <c r="Z154" i="14"/>
  <c r="Z155" s="1"/>
  <c r="Z156" s="1"/>
  <c r="AC7" i="2" s="1"/>
  <c r="AH154" i="14"/>
  <c r="AH155" s="1"/>
  <c r="AH156" s="1"/>
  <c r="AK7" i="2" s="1"/>
  <c r="K154" i="14"/>
  <c r="K155" s="1"/>
  <c r="K156" s="1"/>
  <c r="N7" i="2" s="1"/>
  <c r="AA154" i="14"/>
  <c r="AA155" s="1"/>
  <c r="AA156" s="1"/>
  <c r="AD7" i="2" s="1"/>
  <c r="Q154" i="14"/>
  <c r="Q155" s="1"/>
  <c r="Q156" s="1"/>
  <c r="T7" i="2" s="1"/>
  <c r="AG154" i="14"/>
  <c r="AG155" s="1"/>
  <c r="AG156" s="1"/>
  <c r="AJ7" i="2" s="1"/>
  <c r="F154" i="14"/>
  <c r="F155" s="1"/>
  <c r="F156" s="1"/>
  <c r="I7" i="2" s="1"/>
  <c r="V154" i="14"/>
  <c r="V155" s="1"/>
  <c r="V156" s="1"/>
  <c r="Y7" i="2" s="1"/>
  <c r="AL154" i="14"/>
  <c r="S154"/>
  <c r="S155" s="1"/>
  <c r="S156" s="1"/>
  <c r="V7" i="2" s="1"/>
  <c r="I154" i="14"/>
  <c r="I155" s="1"/>
  <c r="P154"/>
  <c r="N154"/>
  <c r="N155" s="1"/>
  <c r="N156" s="1"/>
  <c r="Q7" i="2" s="1"/>
  <c r="AD154" i="14"/>
  <c r="AD155" s="1"/>
  <c r="AD156" s="1"/>
  <c r="AG7" i="2" s="1"/>
  <c r="AI154" i="14"/>
  <c r="AI155" s="1"/>
  <c r="AI156" s="1"/>
  <c r="AL7" i="2" s="1"/>
  <c r="Y154" i="14"/>
  <c r="U154"/>
  <c r="U155" s="1"/>
  <c r="U156" s="1"/>
  <c r="X7" i="2" s="1"/>
  <c r="M154" i="14"/>
  <c r="M155" s="1"/>
  <c r="M156" s="1"/>
  <c r="P7" i="2" s="1"/>
  <c r="W154" i="14"/>
  <c r="W155" s="1"/>
  <c r="W156" s="1"/>
  <c r="Z7" i="2" s="1"/>
  <c r="O154" i="14"/>
  <c r="R154"/>
  <c r="R155" s="1"/>
  <c r="R156" s="1"/>
  <c r="U7" i="2" s="1"/>
  <c r="AE154" i="14"/>
  <c r="AE155" s="1"/>
  <c r="AE156" s="1"/>
  <c r="AH7" i="2" s="1"/>
  <c r="X154" i="14"/>
  <c r="X155" s="1"/>
  <c r="X156" s="1"/>
  <c r="AA7" i="2" s="1"/>
  <c r="H154" i="14"/>
  <c r="AF154"/>
  <c r="AF155" s="1"/>
  <c r="AF156" s="1"/>
  <c r="AI7" i="2" s="1"/>
  <c r="L154" i="14"/>
  <c r="L155" s="1"/>
  <c r="L156" s="1"/>
  <c r="O7" i="2" s="1"/>
  <c r="G154" i="14"/>
  <c r="G155" s="1"/>
  <c r="G156" s="1"/>
  <c r="J7" i="2" s="1"/>
  <c r="AA28" l="1"/>
  <c r="I28"/>
  <c r="T28"/>
  <c r="W28"/>
  <c r="I40" i="15"/>
  <c r="C8" i="2" s="1"/>
  <c r="Q28"/>
  <c r="AI28"/>
  <c r="AM28"/>
  <c r="AG28"/>
  <c r="AE28"/>
  <c r="U28"/>
  <c r="Z28"/>
  <c r="X28"/>
  <c r="AL28"/>
  <c r="AC28"/>
  <c r="O28"/>
  <c r="AH28"/>
  <c r="P28"/>
  <c r="AD28"/>
  <c r="AP28"/>
  <c r="AJ28"/>
  <c r="M28"/>
  <c r="N28"/>
  <c r="V28"/>
  <c r="AK28"/>
  <c r="AN8"/>
  <c r="AN28" s="1"/>
  <c r="I41" i="15"/>
  <c r="D8" i="2" s="1"/>
  <c r="I6" i="15"/>
  <c r="J8" i="2" s="1"/>
  <c r="J28" s="1"/>
  <c r="Y8"/>
  <c r="Y28" s="1"/>
  <c r="I42" i="15"/>
  <c r="E8" i="2" s="1"/>
  <c r="C142" i="14"/>
  <c r="I156"/>
  <c r="L7" i="2" s="1"/>
  <c r="L28" s="1"/>
  <c r="B42"/>
  <c r="L3" l="1"/>
  <c r="C7"/>
  <c r="C28" s="1"/>
  <c r="H3"/>
  <c r="U3"/>
  <c r="AE3"/>
  <c r="AH3"/>
  <c r="AN3"/>
  <c r="N3"/>
  <c r="Q3"/>
  <c r="X3"/>
  <c r="AA3"/>
  <c r="K3"/>
  <c r="S3"/>
  <c r="I3"/>
  <c r="AB3"/>
  <c r="R3"/>
  <c r="M3"/>
  <c r="AD3"/>
  <c r="Y3"/>
  <c r="P3"/>
  <c r="AI3"/>
  <c r="V3"/>
  <c r="W3"/>
  <c r="AC3"/>
  <c r="T3"/>
  <c r="AL3"/>
  <c r="Z3"/>
  <c r="J3"/>
  <c r="AM3"/>
  <c r="AF3"/>
  <c r="AO3"/>
  <c r="AP3"/>
  <c r="AK3"/>
  <c r="AJ3"/>
  <c r="AG3"/>
  <c r="O3"/>
  <c r="B43"/>
  <c r="D33" l="1"/>
  <c r="E5" i="3" s="1"/>
  <c r="D31" i="2"/>
  <c r="E3" i="3" s="1"/>
  <c r="D32" i="2"/>
  <c r="E4" i="3" s="1"/>
  <c r="B44" i="2"/>
  <c r="B45" l="1"/>
  <c r="B46" l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3" s="1"/>
  <c r="B143" i="14" s="1"/>
  <c r="C143" s="1"/>
  <c r="D7" i="2" s="1"/>
  <c r="D28" s="1"/>
  <c r="B4"/>
  <c r="B144" i="14" s="1"/>
  <c r="C144" s="1"/>
  <c r="E7" i="2" s="1"/>
  <c r="E28" s="1"/>
  <c r="F28" l="1"/>
</calcChain>
</file>

<file path=xl/comments1.xml><?xml version="1.0" encoding="utf-8"?>
<comments xmlns="http://schemas.openxmlformats.org/spreadsheetml/2006/main">
  <authors>
    <author>Kevin Benecchi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Kevin Benecchi:</t>
        </r>
        <r>
          <rPr>
            <sz val="9"/>
            <color indexed="81"/>
            <rFont val="Tahoma"/>
            <family val="2"/>
          </rPr>
          <t xml:space="preserve">
otentially considered for working it into the transportation matrix</t>
        </r>
      </text>
    </comment>
  </commentList>
</comments>
</file>

<file path=xl/sharedStrings.xml><?xml version="1.0" encoding="utf-8"?>
<sst xmlns="http://schemas.openxmlformats.org/spreadsheetml/2006/main" count="1540" uniqueCount="310">
  <si>
    <t xml:space="preserve">Civic Center </t>
  </si>
  <si>
    <t xml:space="preserve">Hamilton Heights </t>
  </si>
  <si>
    <t xml:space="preserve">Sugar Hill </t>
  </si>
  <si>
    <t xml:space="preserve">Clinton </t>
  </si>
  <si>
    <t xml:space="preserve">Hell's Kitchen </t>
  </si>
  <si>
    <t xml:space="preserve">Tudor City </t>
  </si>
  <si>
    <t xml:space="preserve">Hudson Square </t>
  </si>
  <si>
    <t xml:space="preserve">Carnegie Hill </t>
  </si>
  <si>
    <t xml:space="preserve">Lincoln Square </t>
  </si>
  <si>
    <t xml:space="preserve">Manhattan Valley </t>
  </si>
  <si>
    <t>Upper West Side  (72-96)</t>
  </si>
  <si>
    <t>Battery Park City</t>
  </si>
  <si>
    <t>Carnegie Hill</t>
  </si>
  <si>
    <t>Chelsea</t>
  </si>
  <si>
    <t>Chinatown</t>
  </si>
  <si>
    <t>Civic Center</t>
  </si>
  <si>
    <t>Clinton</t>
  </si>
  <si>
    <t>East Harlem</t>
  </si>
  <si>
    <t>East Village</t>
  </si>
  <si>
    <t>Financial District</t>
  </si>
  <si>
    <t>Flatiron</t>
  </si>
  <si>
    <t>Garment District</t>
  </si>
  <si>
    <t>Gramercy Park</t>
  </si>
  <si>
    <t>Greenwich Village</t>
  </si>
  <si>
    <t>Hamilton Heights</t>
  </si>
  <si>
    <t>Harlem</t>
  </si>
  <si>
    <t>Hell's Kitchen</t>
  </si>
  <si>
    <t>Inwood</t>
  </si>
  <si>
    <t>Kips Bay</t>
  </si>
  <si>
    <t>Koreatown</t>
  </si>
  <si>
    <t>Lincoln Square</t>
  </si>
  <si>
    <t>Lower East Side</t>
  </si>
  <si>
    <t>Manhattan Valley</t>
  </si>
  <si>
    <t>Midtown</t>
  </si>
  <si>
    <t>Midtown East</t>
  </si>
  <si>
    <t>Midtown South</t>
  </si>
  <si>
    <t>Midtown West</t>
  </si>
  <si>
    <t>Morningside Heights</t>
  </si>
  <si>
    <t>Murray Hill</t>
  </si>
  <si>
    <t>Noho</t>
  </si>
  <si>
    <t>Roosevelt Island</t>
  </si>
  <si>
    <t>Soho</t>
  </si>
  <si>
    <t>Sutton Place</t>
  </si>
  <si>
    <t>Times Square Theatre District</t>
  </si>
  <si>
    <t>Tribeca</t>
  </si>
  <si>
    <t>Tudor City</t>
  </si>
  <si>
    <t>Union Square</t>
  </si>
  <si>
    <t>Upper East Side</t>
  </si>
  <si>
    <t>Washington Heights</t>
  </si>
  <si>
    <t>West Village</t>
  </si>
  <si>
    <t>All New York</t>
  </si>
  <si>
    <t>Studio</t>
  </si>
  <si>
    <t>Nolita</t>
  </si>
  <si>
    <t>Stuyvesant Town</t>
  </si>
  <si>
    <t>Sugar Hill</t>
  </si>
  <si>
    <t>Hudson Square</t>
  </si>
  <si>
    <t>4 Bd</t>
  </si>
  <si>
    <t>3 Bd</t>
  </si>
  <si>
    <t>Upper West Side (72-96)</t>
  </si>
  <si>
    <t>2Bd</t>
  </si>
  <si>
    <t>1Bd</t>
  </si>
  <si>
    <t>Little Italy</t>
  </si>
  <si>
    <t>Upper West Side</t>
  </si>
  <si>
    <t>1-Bedroom</t>
  </si>
  <si>
    <t>2-Bedroom</t>
  </si>
  <si>
    <t>3-Bedroom</t>
  </si>
  <si>
    <t>4-Bedroom</t>
  </si>
  <si>
    <t>Name</t>
  </si>
  <si>
    <t>Transportation (DM)</t>
  </si>
  <si>
    <t>Restaurants (DM)</t>
  </si>
  <si>
    <t>Grocery (CF)</t>
  </si>
  <si>
    <t>Gyms (CF)</t>
  </si>
  <si>
    <t>Parks (CF)</t>
  </si>
  <si>
    <t>Exit From City (SG)</t>
  </si>
  <si>
    <t>Parking (CF)</t>
  </si>
  <si>
    <t>Housing Cost (SG)</t>
  </si>
  <si>
    <t>Culture (CB)</t>
  </si>
  <si>
    <t>Sporting Events (DM)</t>
  </si>
  <si>
    <t>Hospitals (CB)</t>
  </si>
  <si>
    <t>Age/Demographics (DM)</t>
  </si>
  <si>
    <t>Safety (CB)</t>
  </si>
  <si>
    <t>Commerce/Shopping (CB)</t>
  </si>
  <si>
    <t>School Density (SG)</t>
  </si>
  <si>
    <t>Movies (KJB)</t>
  </si>
  <si>
    <t>Cell Phone Coverage (DM)</t>
  </si>
  <si>
    <t>Total Score</t>
  </si>
  <si>
    <t>Apartment Type:</t>
  </si>
  <si>
    <t>Exit Score</t>
  </si>
  <si>
    <t>Scaled Score</t>
  </si>
  <si>
    <t>Being Able to Leave the City Quickly</t>
  </si>
  <si>
    <t>Public Schools Nearby</t>
  </si>
  <si>
    <t>No. (Yelp)</t>
  </si>
  <si>
    <t>Notes</t>
  </si>
  <si>
    <t>-assigned 3 meatpacking, 1 to West Village, 2 to Chelsea</t>
  </si>
  <si>
    <t>-assigned 1 from Murray Hill into K-town</t>
  </si>
  <si>
    <t>km^2</t>
  </si>
  <si>
    <t>Block Size</t>
  </si>
  <si>
    <t>Ave</t>
  </si>
  <si>
    <t>Street</t>
  </si>
  <si>
    <t>Km^2</t>
  </si>
  <si>
    <t>Density</t>
  </si>
  <si>
    <t>Parks</t>
  </si>
  <si>
    <t>Score</t>
  </si>
  <si>
    <t>Close to River Parks/CP</t>
  </si>
  <si>
    <t>Total</t>
  </si>
  <si>
    <t>Multiplier</t>
  </si>
  <si>
    <t>Avg Monthly Price</t>
  </si>
  <si>
    <t>Price</t>
  </si>
  <si>
    <t>Streets</t>
  </si>
  <si>
    <t>Avenues</t>
  </si>
  <si>
    <t>based on google maps search, hospital rankings</t>
  </si>
  <si>
    <t>lincoln center</t>
  </si>
  <si>
    <t>msg</t>
  </si>
  <si>
    <t>nyu, columbia</t>
  </si>
  <si>
    <t>times square /theater district</t>
  </si>
  <si>
    <t>Need a Safe Neighborhood? (5 is yes, 1 is no)</t>
  </si>
  <si>
    <t>Near a hospital?</t>
  </si>
  <si>
    <t>Near cultural events?</t>
  </si>
  <si>
    <t>Near heavy commerce/retail/shopping?</t>
  </si>
  <si>
    <t>Red</t>
  </si>
  <si>
    <t>Red-Orange</t>
  </si>
  <si>
    <t>Orange</t>
  </si>
  <si>
    <t>Yellow</t>
  </si>
  <si>
    <t>Green</t>
  </si>
  <si>
    <t>Gramercy</t>
  </si>
  <si>
    <t>Aqua</t>
  </si>
  <si>
    <t>Sky Blue</t>
  </si>
  <si>
    <t>Stuy Town</t>
  </si>
  <si>
    <t>Dark Blue</t>
  </si>
  <si>
    <t>Purple</t>
  </si>
  <si>
    <t>Black</t>
  </si>
  <si>
    <t>Address</t>
  </si>
  <si>
    <t>204 9th Avenue, NY, NY</t>
  </si>
  <si>
    <t>106 Bayard St, NY, NY</t>
  </si>
  <si>
    <t>237 E 116 St., NY, NY</t>
  </si>
  <si>
    <t>128 E 7th St., NY, NY</t>
  </si>
  <si>
    <t>120 Broadway, NY, NY</t>
  </si>
  <si>
    <t>42 E 20th St., NY, NY</t>
  </si>
  <si>
    <t>208 w 37th, ny, ny</t>
  </si>
  <si>
    <t>194 E 19th St., NY, NY</t>
  </si>
  <si>
    <t>1 5th Ave., NY, NY</t>
  </si>
  <si>
    <t>230 W 138 St., NY, NY</t>
  </si>
  <si>
    <t>4973 Broadway, NY, NY</t>
  </si>
  <si>
    <t>462 2nd Ave., NY, NY</t>
  </si>
  <si>
    <t>17 W 32nd, NY, NY</t>
  </si>
  <si>
    <t>192 Grand St., NY, NY</t>
  </si>
  <si>
    <t>105 Clinton St., NY, NY</t>
  </si>
  <si>
    <t>104 W 55 St., NY, NY</t>
  </si>
  <si>
    <t>99 E 52 St., NY, NY</t>
  </si>
  <si>
    <t>110 W 49th St., NY, NY</t>
  </si>
  <si>
    <t>446 W 48th St., NY, NY</t>
  </si>
  <si>
    <t>1135 Amsterdam Ave., NY, NY</t>
  </si>
  <si>
    <t>154 E 34th St., NY, NY</t>
  </si>
  <si>
    <t>380 Lafayette St., NY, NY</t>
  </si>
  <si>
    <t>14 Spring St., NY, NY</t>
  </si>
  <si>
    <t>425 Main St., NY, NY</t>
  </si>
  <si>
    <t>60 Thompson St., NY, NY</t>
  </si>
  <si>
    <t>401 E 20th St., NY, NY</t>
  </si>
  <si>
    <t>370 E 56th St., NY, NY</t>
  </si>
  <si>
    <t>212 W 45 St., NY, NY</t>
  </si>
  <si>
    <t>105 Hudson St., NY, NY</t>
  </si>
  <si>
    <t>98 E 15th St., NY, NY</t>
  </si>
  <si>
    <t>280 E 79th St., NY, NY</t>
  </si>
  <si>
    <t>450 Amsterdam Ave., NY, NY</t>
  </si>
  <si>
    <t>4172 Broadway, NY, NY</t>
  </si>
  <si>
    <t>118 Christopher St., NY, NY</t>
  </si>
  <si>
    <t>Transposed Matrix</t>
  </si>
  <si>
    <t>Final Matrix</t>
  </si>
  <si>
    <r>
      <t>393 South End Avenue, NY, NY</t>
    </r>
    <r>
      <rPr>
        <sz val="10"/>
        <rFont val="Arial"/>
        <family val="2"/>
      </rPr>
      <t>‎</t>
    </r>
  </si>
  <si>
    <t>Beermenu.com neighborhood</t>
  </si>
  <si>
    <t>Number of Bars on beermenus.com</t>
  </si>
  <si>
    <t>Total Beers on tap</t>
  </si>
  <si>
    <t>Average number of beers on tap</t>
  </si>
  <si>
    <t>SOHO / Tribeca / Financial District</t>
  </si>
  <si>
    <t>Midtown South / Chelsea</t>
  </si>
  <si>
    <t>Uptown</t>
  </si>
  <si>
    <t>East Village / Lower East Side</t>
  </si>
  <si>
    <t>Grammercy</t>
  </si>
  <si>
    <t>Midtown East + West</t>
  </si>
  <si>
    <t>Number of Buildings Burning #6 Oil by Zip Code in New York City</t>
  </si>
  <si>
    <t>0-40</t>
  </si>
  <si>
    <t>41-80</t>
  </si>
  <si>
    <t>81-120</t>
  </si>
  <si>
    <t>121-160</t>
  </si>
  <si>
    <t>161-212</t>
  </si>
  <si>
    <t>oil emissions report:  http://www.edf.org/documents/10085_EDF_Heating_Oil_Report.pdf</t>
  </si>
  <si>
    <t>neighborhoods by zip code:  http://www.health.state.ny.us/statistics/cancer/registry/appendix/neighborhoods.htm</t>
  </si>
  <si>
    <t>Total Number of Movie Theaters / Cinemas</t>
  </si>
  <si>
    <t>according to CitySearch's neighborhood listings</t>
  </si>
  <si>
    <t>School Score</t>
  </si>
  <si>
    <t>Data Sources:</t>
  </si>
  <si>
    <t>http://www.greatschools.org/new-york/new-york-city/schools/?pageSize=25&amp;sortColumn=ratingsHeader&amp;sortDirection=desc&amp;p=1&amp;sortSelection=GS+Rating</t>
  </si>
  <si>
    <t>http://gis.nyc.gov/ops/mmr/mmrmap.jsp</t>
  </si>
  <si>
    <r>
      <t xml:space="preserve"> </t>
    </r>
    <r>
      <rPr>
        <b/>
        <sz val="10.8"/>
        <color indexed="8"/>
        <rFont val="Calibri"/>
        <family val="2"/>
      </rPr>
      <t xml:space="preserve">School District </t>
    </r>
    <r>
      <rPr>
        <sz val="11"/>
        <rFont val="Calibri"/>
        <family val="2"/>
      </rPr>
      <t xml:space="preserve"> </t>
    </r>
  </si>
  <si>
    <r>
      <t xml:space="preserve"> </t>
    </r>
    <r>
      <rPr>
        <b/>
        <sz val="10.8"/>
        <color indexed="8"/>
        <rFont val="Calibri"/>
        <family val="2"/>
      </rPr>
      <t xml:space="preserve">School Year 2008-09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</si>
  <si>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</si>
  <si>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</si>
  <si>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3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</si>
  <si>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4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</si>
  <si>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5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</si>
  <si>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6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</si>
  <si>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7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</si>
  <si>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8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</si>
  <si>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9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</si>
  <si>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10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</si>
  <si>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11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</si>
  <si>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12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</si>
  <si>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13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</si>
  <si>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14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</si>
  <si>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15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</si>
  <si>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16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</si>
  <si>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17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</si>
  <si>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18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</si>
  <si>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19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</si>
  <si>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20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</si>
  <si>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21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</si>
  <si>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22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</si>
  <si>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23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</si>
  <si>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24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</si>
  <si>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25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</si>
  <si>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26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</si>
  <si>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27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</si>
  <si>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28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</si>
  <si>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29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</si>
  <si>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30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</si>
  <si>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31 </t>
    </r>
    <r>
      <rPr>
        <sz val="11"/>
        <rFont val="Calibri"/>
        <family val="2"/>
      </rPr>
      <t xml:space="preserve"> </t>
    </r>
  </si>
  <si>
    <r>
      <t xml:space="preserve"> </t>
    </r>
    <r>
      <rPr>
        <sz val="9"/>
        <color indexed="8"/>
        <rFont val="Calibri"/>
        <family val="2"/>
      </rPr>
      <t xml:space="preserve">District 32 </t>
    </r>
    <r>
      <rPr>
        <sz val="11"/>
        <rFont val="Calibri"/>
        <family val="2"/>
      </rPr>
      <t xml:space="preserve"> </t>
    </r>
  </si>
  <si>
    <t>English</t>
  </si>
  <si>
    <t>Math</t>
  </si>
  <si>
    <t>Combined</t>
  </si>
  <si>
    <t>How Important is the availability of grocery shopping?</t>
  </si>
  <si>
    <t>How Important is the availability of gyms?</t>
  </si>
  <si>
    <t>Near outdoor spaces and parks?</t>
  </si>
  <si>
    <t>How important is reasonably priced parking?</t>
  </si>
  <si>
    <t>Where will you be working?</t>
  </si>
  <si>
    <t>How many trips/week will you be travelling from home-to-work or work-to-home?</t>
  </si>
  <si>
    <t>Maybe some other area you'd like to live close to otherwise (shopping/family/museums)?</t>
  </si>
  <si>
    <t>N/A - At Home</t>
  </si>
  <si>
    <t>What is the maximum time you are willing to spend commuting (in minutes)?</t>
  </si>
  <si>
    <t>What is the maximum time you are willing to spend getting to your friends (minutes)?</t>
  </si>
  <si>
    <t>What is the maximum time you are willing to spend getting to this location (minutes)?</t>
  </si>
  <si>
    <t>N/A</t>
  </si>
  <si>
    <t>Where are your friends generally located?</t>
  </si>
  <si>
    <t>Is there an area you'd like to live close to otherwise (shopping/family/museums/other friends)?</t>
  </si>
  <si>
    <t>How important to you is it to minimize the time you spend getting from one place to another?</t>
  </si>
  <si>
    <t>How many trips/week will you be travelling to/from friends in this area?</t>
  </si>
  <si>
    <t>How many trips/week will you be travelling to/from this location?</t>
  </si>
  <si>
    <t>Transportation Calculation</t>
  </si>
  <si>
    <t>Place of Work</t>
  </si>
  <si>
    <t>Friends</t>
  </si>
  <si>
    <t>Location #1</t>
  </si>
  <si>
    <t>Location #2</t>
  </si>
  <si>
    <t>Location</t>
  </si>
  <si>
    <t>Trips</t>
  </si>
  <si>
    <t>Max. Time</t>
  </si>
  <si>
    <t>Time Spent</t>
  </si>
  <si>
    <t>Disqualified?</t>
  </si>
  <si>
    <t>Percentile</t>
  </si>
  <si>
    <t>Mean</t>
  </si>
  <si>
    <t>Std. Dev.</t>
  </si>
  <si>
    <t>Green cells should equal 14 - decimals are allowed</t>
  </si>
  <si>
    <t>Transportation Questions</t>
  </si>
  <si>
    <t>0-10 Ranking Score</t>
  </si>
  <si>
    <t>User Scaled Score</t>
  </si>
  <si>
    <t>Input from User Rank</t>
  </si>
  <si>
    <t>How important is it to have few buildings rated poorly air emission rankings?</t>
  </si>
  <si>
    <t>Raw Rating</t>
  </si>
  <si>
    <t>How important is it to be near movie theaters?</t>
  </si>
  <si>
    <t>How important is the average number of beers on tap at those bars?</t>
  </si>
  <si>
    <t>How important is the density of bars?</t>
  </si>
  <si>
    <t>Bars per km^2</t>
  </si>
  <si>
    <t>Air Emissions (KJB)</t>
  </si>
  <si>
    <t>Total Remaining Points to Allocate (Allocate 100 Total Points)</t>
  </si>
  <si>
    <t>Importance of Housing Prices</t>
  </si>
  <si>
    <t>2nd</t>
  </si>
  <si>
    <t>3rd</t>
  </si>
  <si>
    <t>AVG</t>
  </si>
  <si>
    <t>STD</t>
  </si>
  <si>
    <t>1st</t>
  </si>
  <si>
    <t>Beers on Tap (KJB)</t>
  </si>
  <si>
    <t>Bar Density (KJB)</t>
  </si>
  <si>
    <t>How important to you is it to minimize the time you spend getting from one place to another (transportation)?</t>
  </si>
  <si>
    <t>Current Locations Being Tried?</t>
  </si>
  <si>
    <t>What is the absolute maximum time you are willing to spend commuting for one trip (in minutes)?</t>
  </si>
  <si>
    <t>Housing Questions:</t>
  </si>
  <si>
    <t>Rank</t>
  </si>
  <si>
    <t>Where You Should Live:</t>
  </si>
  <si>
    <t>Parks Score</t>
  </si>
  <si>
    <t>Grocery Store</t>
  </si>
  <si>
    <t>Gym Score</t>
  </si>
  <si>
    <t>ParkingScore</t>
  </si>
  <si>
    <t>User Scaled Score 1</t>
  </si>
  <si>
    <t>User Scaled Score 2</t>
  </si>
  <si>
    <t>Number of Bars and Clubs on Yelp.com</t>
  </si>
  <si>
    <t>Jack McCrotchen</t>
  </si>
  <si>
    <t>Input from user:</t>
  </si>
  <si>
    <t>(0 to 100)</t>
  </si>
  <si>
    <t>(0 to 10)</t>
  </si>
  <si>
    <t>(0 to 1000)</t>
  </si>
  <si>
    <t>near culture = high score</t>
  </si>
  <si>
    <t>Raw Score</t>
  </si>
  <si>
    <t>near hospital = high score</t>
  </si>
  <si>
    <t>low crime = high score</t>
  </si>
  <si>
    <t>museums</t>
  </si>
  <si>
    <t>based on team knowledge, Yelp, and Google Maps</t>
  </si>
  <si>
    <r>
      <rPr>
        <sz val="11"/>
        <rFont val="Calibri"/>
        <family val="2"/>
      </rPr>
      <t xml:space="preserve">Sources: </t>
    </r>
    <r>
      <rPr>
        <u/>
        <sz val="11"/>
        <color indexed="12"/>
        <rFont val="Calibri"/>
        <family val="2"/>
      </rPr>
      <t>http://spotcrime.com/ny/new+york</t>
    </r>
  </si>
  <si>
    <t>weighted for severity and estimated percent of crimes reported</t>
  </si>
  <si>
    <t>not scaled to 1000 due to less precise raw data</t>
  </si>
  <si>
    <t>not scaled to 1000 due to less presise raw data</t>
  </si>
  <si>
    <t>near shopping = high score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</si>
</sst>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43" formatCode="_(* #,##0.00_);_(* \(#,##0.00\);_(* &quot;-&quot;??_);_(@_)"/>
    <numFmt numFmtId="164" formatCode="0.0"/>
    <numFmt numFmtId="165" formatCode="_(* #,##0_);_(* \(#,##0\);_(* &quot;-&quot;??_);_(@_)"/>
  </numFmts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30"/>
      <name val="Calibri"/>
      <family val="2"/>
    </font>
    <font>
      <sz val="11"/>
      <color indexed="30"/>
      <name val="Calibri"/>
      <family val="2"/>
    </font>
    <font>
      <sz val="11"/>
      <color indexed="62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i/>
      <sz val="11"/>
      <color indexed="10"/>
      <name val="Calibri"/>
      <family val="2"/>
    </font>
    <font>
      <sz val="11"/>
      <name val="Calibri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Verdana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8"/>
      <name val="Calibri"/>
      <family val="2"/>
    </font>
    <font>
      <b/>
      <sz val="10.8"/>
      <color indexed="8"/>
      <name val="Calibri"/>
      <family val="2"/>
    </font>
    <font>
      <sz val="9"/>
      <color indexed="8"/>
      <name val="Calibri"/>
      <family val="2"/>
    </font>
    <font>
      <b/>
      <sz val="11"/>
      <color indexed="8"/>
      <name val="Calibri"/>
      <family val="2"/>
    </font>
    <font>
      <b/>
      <u/>
      <sz val="10"/>
      <name val="Verdana"/>
      <family val="2"/>
    </font>
    <font>
      <b/>
      <i/>
      <sz val="10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62"/>
      <name val="Calibri"/>
      <family val="2"/>
    </font>
    <font>
      <sz val="15"/>
      <name val="Calibri"/>
      <family val="2"/>
    </font>
    <font>
      <sz val="11"/>
      <color indexed="6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133">
    <xf numFmtId="0" fontId="0" fillId="0" borderId="0" xfId="0"/>
    <xf numFmtId="6" fontId="0" fillId="0" borderId="0" xfId="0" applyNumberFormat="1"/>
    <xf numFmtId="9" fontId="0" fillId="0" borderId="0" xfId="0" applyNumberFormat="1"/>
    <xf numFmtId="0" fontId="3" fillId="0" borderId="1" xfId="0" applyFont="1" applyBorder="1"/>
    <xf numFmtId="0" fontId="4" fillId="0" borderId="0" xfId="0" applyFont="1" applyBorder="1"/>
    <xf numFmtId="4" fontId="0" fillId="0" borderId="0" xfId="0" applyNumberFormat="1"/>
    <xf numFmtId="0" fontId="5" fillId="0" borderId="1" xfId="0" applyFont="1" applyBorder="1"/>
    <xf numFmtId="0" fontId="2" fillId="0" borderId="2" xfId="0" applyFont="1" applyBorder="1"/>
    <xf numFmtId="0" fontId="6" fillId="0" borderId="0" xfId="0" applyFont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Fill="1"/>
    <xf numFmtId="0" fontId="9" fillId="0" borderId="0" xfId="0" applyFont="1"/>
    <xf numFmtId="0" fontId="8" fillId="0" borderId="0" xfId="2" applyAlignment="1" applyProtection="1"/>
    <xf numFmtId="0" fontId="10" fillId="0" borderId="0" xfId="2" applyFont="1" applyAlignment="1" applyProtection="1"/>
    <xf numFmtId="0" fontId="0" fillId="0" borderId="0" xfId="0" applyAlignment="1">
      <alignment horizontal="left" indent="1"/>
    </xf>
    <xf numFmtId="0" fontId="11" fillId="0" borderId="0" xfId="3"/>
    <xf numFmtId="0" fontId="13" fillId="0" borderId="0" xfId="3" applyFont="1"/>
    <xf numFmtId="43" fontId="2" fillId="0" borderId="0" xfId="1" applyFont="1"/>
    <xf numFmtId="0" fontId="0" fillId="0" borderId="0" xfId="0" applyAlignment="1">
      <alignment wrapText="1"/>
    </xf>
    <xf numFmtId="43" fontId="2" fillId="0" borderId="0" xfId="1" applyFont="1" applyAlignment="1">
      <alignment horizontal="center" wrapText="1"/>
    </xf>
    <xf numFmtId="0" fontId="14" fillId="0" borderId="0" xfId="0" applyFont="1"/>
    <xf numFmtId="43" fontId="15" fillId="0" borderId="0" xfId="1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0" fillId="0" borderId="0" xfId="0" applyNumberFormat="1" applyFont="1" applyFill="1" applyBorder="1" applyAlignment="1" applyProtection="1"/>
    <xf numFmtId="0" fontId="19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9" fillId="0" borderId="6" xfId="0" applyFont="1" applyBorder="1"/>
    <xf numFmtId="0" fontId="20" fillId="0" borderId="0" xfId="3" applyFont="1"/>
    <xf numFmtId="164" fontId="11" fillId="0" borderId="0" xfId="3" applyNumberFormat="1"/>
    <xf numFmtId="1" fontId="11" fillId="0" borderId="0" xfId="3" applyNumberFormat="1"/>
    <xf numFmtId="0" fontId="21" fillId="0" borderId="0" xfId="3" applyFont="1"/>
    <xf numFmtId="0" fontId="21" fillId="0" borderId="0" xfId="3" applyFont="1" applyAlignment="1">
      <alignment horizontal="right"/>
    </xf>
    <xf numFmtId="2" fontId="11" fillId="0" borderId="0" xfId="3" applyNumberFormat="1"/>
    <xf numFmtId="0" fontId="11" fillId="2" borderId="2" xfId="3" applyFill="1" applyBorder="1"/>
    <xf numFmtId="0" fontId="11" fillId="0" borderId="0" xfId="3" applyFont="1"/>
    <xf numFmtId="0" fontId="0" fillId="3" borderId="0" xfId="0" applyFill="1" applyAlignment="1">
      <alignment horizontal="center"/>
    </xf>
    <xf numFmtId="0" fontId="0" fillId="0" borderId="7" xfId="0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quotePrefix="1" applyAlignment="1">
      <alignment horizontal="center" wrapText="1"/>
    </xf>
    <xf numFmtId="0" fontId="0" fillId="0" borderId="10" xfId="0" applyBorder="1"/>
    <xf numFmtId="43" fontId="0" fillId="0" borderId="0" xfId="1" applyFont="1"/>
    <xf numFmtId="43" fontId="0" fillId="0" borderId="0" xfId="1" applyNumberFormat="1" applyFont="1"/>
    <xf numFmtId="43" fontId="0" fillId="0" borderId="0" xfId="1" applyNumberFormat="1" applyFont="1" applyAlignment="1">
      <alignment wrapText="1"/>
    </xf>
    <xf numFmtId="0" fontId="0" fillId="4" borderId="0" xfId="0" applyFill="1"/>
    <xf numFmtId="43" fontId="2" fillId="4" borderId="0" xfId="1" applyFont="1" applyFill="1"/>
    <xf numFmtId="43" fontId="0" fillId="4" borderId="0" xfId="1" applyNumberFormat="1" applyFont="1" applyFill="1"/>
    <xf numFmtId="43" fontId="0" fillId="4" borderId="0" xfId="1" applyFont="1" applyFill="1"/>
    <xf numFmtId="4" fontId="0" fillId="5" borderId="0" xfId="0" applyNumberFormat="1" applyFill="1"/>
    <xf numFmtId="0" fontId="0" fillId="0" borderId="0" xfId="0" applyFill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9" fillId="6" borderId="2" xfId="0" applyFont="1" applyFill="1" applyBorder="1" applyAlignment="1">
      <alignment horizontal="center"/>
    </xf>
    <xf numFmtId="0" fontId="25" fillId="2" borderId="6" xfId="0" applyFont="1" applyFill="1" applyBorder="1"/>
    <xf numFmtId="4" fontId="0" fillId="0" borderId="11" xfId="0" applyNumberFormat="1" applyBorder="1"/>
    <xf numFmtId="0" fontId="10" fillId="0" borderId="0" xfId="0" applyFont="1" applyBorder="1"/>
    <xf numFmtId="0" fontId="5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12" xfId="0" applyBorder="1" applyAlignment="1">
      <alignment horizontal="center"/>
    </xf>
    <xf numFmtId="0" fontId="24" fillId="0" borderId="13" xfId="0" applyFont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43" fontId="0" fillId="0" borderId="0" xfId="1" applyFont="1" applyFill="1"/>
    <xf numFmtId="165" fontId="10" fillId="0" borderId="0" xfId="1" applyNumberFormat="1" applyFont="1" applyBorder="1"/>
    <xf numFmtId="0" fontId="11" fillId="0" borderId="0" xfId="3" applyAlignment="1">
      <alignment textRotation="90"/>
    </xf>
    <xf numFmtId="0" fontId="0" fillId="7" borderId="0" xfId="0" applyFill="1" applyBorder="1" applyAlignment="1">
      <alignment wrapText="1"/>
    </xf>
    <xf numFmtId="0" fontId="24" fillId="7" borderId="13" xfId="0" applyFont="1" applyFill="1" applyBorder="1" applyAlignment="1">
      <alignment horizontal="center" vertical="center"/>
    </xf>
    <xf numFmtId="0" fontId="0" fillId="7" borderId="0" xfId="0" applyFill="1"/>
    <xf numFmtId="0" fontId="0" fillId="7" borderId="0" xfId="0" applyFill="1" applyAlignment="1">
      <alignment wrapText="1"/>
    </xf>
    <xf numFmtId="0" fontId="24" fillId="0" borderId="0" xfId="0" applyFont="1" applyFill="1" applyBorder="1" applyAlignment="1">
      <alignment horizontal="center" vertical="center"/>
    </xf>
    <xf numFmtId="0" fontId="0" fillId="7" borderId="3" xfId="0" applyFill="1" applyBorder="1" applyAlignment="1">
      <alignment wrapText="1"/>
    </xf>
    <xf numFmtId="0" fontId="0" fillId="7" borderId="7" xfId="0" applyFill="1" applyBorder="1" applyAlignment="1">
      <alignment horizontal="center"/>
    </xf>
    <xf numFmtId="0" fontId="0" fillId="7" borderId="5" xfId="0" applyFill="1" applyBorder="1" applyAlignment="1">
      <alignment wrapText="1"/>
    </xf>
    <xf numFmtId="0" fontId="0" fillId="7" borderId="9" xfId="0" applyFill="1" applyBorder="1" applyAlignment="1">
      <alignment horizontal="center"/>
    </xf>
    <xf numFmtId="0" fontId="0" fillId="7" borderId="4" xfId="0" applyFill="1" applyBorder="1" applyAlignment="1">
      <alignment wrapText="1"/>
    </xf>
    <xf numFmtId="0" fontId="0" fillId="7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0" borderId="0" xfId="0" applyFont="1" applyAlignment="1">
      <alignment wrapText="1"/>
    </xf>
    <xf numFmtId="1" fontId="0" fillId="0" borderId="0" xfId="0" applyNumberFormat="1"/>
    <xf numFmtId="4" fontId="0" fillId="0" borderId="0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3" xfId="0" applyNumberFormat="1" applyBorder="1"/>
    <xf numFmtId="1" fontId="0" fillId="0" borderId="18" xfId="0" applyNumberFormat="1" applyBorder="1"/>
    <xf numFmtId="1" fontId="0" fillId="0" borderId="7" xfId="0" applyNumberFormat="1" applyBorder="1"/>
    <xf numFmtId="1" fontId="0" fillId="0" borderId="4" xfId="0" applyNumberFormat="1" applyBorder="1"/>
    <xf numFmtId="1" fontId="0" fillId="0" borderId="0" xfId="0" applyNumberFormat="1" applyBorder="1"/>
    <xf numFmtId="1" fontId="0" fillId="0" borderId="8" xfId="0" applyNumberFormat="1" applyBorder="1"/>
    <xf numFmtId="1" fontId="0" fillId="0" borderId="5" xfId="0" applyNumberFormat="1" applyBorder="1"/>
    <xf numFmtId="1" fontId="0" fillId="0" borderId="19" xfId="0" applyNumberFormat="1" applyBorder="1"/>
    <xf numFmtId="1" fontId="0" fillId="0" borderId="9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3" xfId="0" applyFont="1" applyBorder="1"/>
    <xf numFmtId="0" fontId="1" fillId="0" borderId="18" xfId="0" applyFont="1" applyBorder="1"/>
    <xf numFmtId="0" fontId="1" fillId="0" borderId="7" xfId="0" applyFont="1" applyBorder="1"/>
    <xf numFmtId="0" fontId="11" fillId="0" borderId="5" xfId="3" applyFont="1" applyBorder="1" applyAlignment="1">
      <alignment textRotation="90"/>
    </xf>
    <xf numFmtId="0" fontId="11" fillId="0" borderId="19" xfId="3" applyFont="1" applyBorder="1" applyAlignment="1">
      <alignment textRotation="90"/>
    </xf>
    <xf numFmtId="0" fontId="11" fillId="0" borderId="9" xfId="3" applyFont="1" applyBorder="1" applyAlignment="1">
      <alignment textRotation="90"/>
    </xf>
    <xf numFmtId="1" fontId="0" fillId="8" borderId="0" xfId="0" applyNumberFormat="1" applyFill="1" applyBorder="1"/>
    <xf numFmtId="0" fontId="0" fillId="8" borderId="0" xfId="0" applyFill="1" applyBorder="1"/>
    <xf numFmtId="0" fontId="0" fillId="8" borderId="20" xfId="0" applyFill="1" applyBorder="1"/>
    <xf numFmtId="1" fontId="0" fillId="8" borderId="21" xfId="0" applyNumberFormat="1" applyFill="1" applyBorder="1"/>
    <xf numFmtId="0" fontId="0" fillId="8" borderId="21" xfId="0" applyFill="1" applyBorder="1"/>
    <xf numFmtId="0" fontId="0" fillId="8" borderId="22" xfId="0" applyFill="1" applyBorder="1"/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/>
    <xf numFmtId="0" fontId="0" fillId="8" borderId="26" xfId="0" applyFill="1" applyBorder="1"/>
    <xf numFmtId="0" fontId="0" fillId="8" borderId="27" xfId="0" applyFill="1" applyBorder="1"/>
    <xf numFmtId="0" fontId="25" fillId="2" borderId="28" xfId="0" applyFont="1" applyFill="1" applyBorder="1" applyAlignment="1">
      <alignment horizontal="right"/>
    </xf>
    <xf numFmtId="0" fontId="0" fillId="0" borderId="0" xfId="0" applyBorder="1"/>
    <xf numFmtId="165" fontId="1" fillId="0" borderId="0" xfId="1" applyNumberFormat="1" applyFont="1"/>
    <xf numFmtId="165" fontId="0" fillId="0" borderId="0" xfId="1" applyNumberFormat="1" applyFont="1" applyAlignment="1">
      <alignment horizontal="center" wrapText="1"/>
    </xf>
    <xf numFmtId="165" fontId="1" fillId="4" borderId="0" xfId="1" applyNumberFormat="1" applyFont="1" applyFill="1"/>
    <xf numFmtId="165" fontId="14" fillId="0" borderId="0" xfId="1" applyNumberFormat="1" applyFont="1"/>
    <xf numFmtId="0" fontId="0" fillId="0" borderId="0" xfId="0" quotePrefix="1" applyFill="1" applyAlignment="1">
      <alignment horizontal="center" wrapText="1"/>
    </xf>
    <xf numFmtId="0" fontId="0" fillId="9" borderId="0" xfId="0" applyFill="1"/>
    <xf numFmtId="4" fontId="0" fillId="9" borderId="0" xfId="0" applyNumberFormat="1" applyFill="1"/>
  </cellXfs>
  <cellStyles count="4">
    <cellStyle name="Comma" xfId="1" builtinId="3"/>
    <cellStyle name="Hyperlink" xfId="2" builtinId="8"/>
    <cellStyle name="Normal" xfId="0" builtinId="0"/>
    <cellStyle name="Normal_DM Final - Transportation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potcrime.com/ny/new+york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124"/>
  <sheetViews>
    <sheetView showGridLines="0" zoomScale="80" zoomScaleNormal="80" workbookViewId="0">
      <selection activeCell="E5" sqref="E5"/>
    </sheetView>
  </sheetViews>
  <sheetFormatPr defaultRowHeight="15"/>
  <cols>
    <col min="1" max="1" width="61.28515625" customWidth="1"/>
    <col min="2" max="2" width="17.7109375" bestFit="1" customWidth="1"/>
    <col min="3" max="3" width="3" customWidth="1"/>
  </cols>
  <sheetData>
    <row r="1" spans="1:7" ht="20.25" thickBot="1">
      <c r="A1" s="62" t="s">
        <v>67</v>
      </c>
      <c r="B1" s="124" t="s">
        <v>294</v>
      </c>
    </row>
    <row r="2" spans="1:7" ht="12" customHeight="1">
      <c r="D2" s="121" t="s">
        <v>286</v>
      </c>
      <c r="E2" s="122"/>
      <c r="F2" s="122"/>
      <c r="G2" s="123"/>
    </row>
    <row r="3" spans="1:7">
      <c r="A3" t="s">
        <v>272</v>
      </c>
      <c r="B3" s="61">
        <f>100-SUM(B8:B23)</f>
        <v>-201</v>
      </c>
      <c r="D3" s="119">
        <v>1</v>
      </c>
      <c r="E3" s="113" t="str">
        <f>IF(B1="David Juran","Milford,CT",OBJ!D31)</f>
        <v>East Village</v>
      </c>
      <c r="F3" s="114"/>
      <c r="G3" s="115"/>
    </row>
    <row r="4" spans="1:7">
      <c r="D4" s="119">
        <v>2</v>
      </c>
      <c r="E4" s="113" t="str">
        <f>IF(B1="David Juran","Milford,CT",OBJ!D32)</f>
        <v>Upper West Side</v>
      </c>
      <c r="F4" s="114"/>
      <c r="G4" s="115"/>
    </row>
    <row r="5" spans="1:7" ht="15.75" thickBot="1">
      <c r="A5" s="89" t="s">
        <v>284</v>
      </c>
      <c r="D5" s="120">
        <v>3</v>
      </c>
      <c r="E5" s="116" t="str">
        <f>IF(B1="David Juran","Milford,CT",OBJ!D33)</f>
        <v>Upper East Side</v>
      </c>
      <c r="F5" s="117"/>
      <c r="G5" s="118"/>
    </row>
    <row r="6" spans="1:7">
      <c r="A6" s="89"/>
    </row>
    <row r="7" spans="1:7">
      <c r="A7" s="66" t="s">
        <v>86</v>
      </c>
      <c r="B7" s="68" t="s">
        <v>63</v>
      </c>
    </row>
    <row r="8" spans="1:7">
      <c r="A8" s="77" t="s">
        <v>273</v>
      </c>
      <c r="B8" s="78">
        <v>29</v>
      </c>
      <c r="C8" s="79"/>
      <c r="D8" s="79"/>
      <c r="E8" s="79"/>
      <c r="F8" s="79"/>
      <c r="G8" s="79"/>
    </row>
    <row r="9" spans="1:7" ht="30">
      <c r="A9" s="66" t="s">
        <v>281</v>
      </c>
      <c r="B9" s="72">
        <v>3</v>
      </c>
    </row>
    <row r="10" spans="1:7">
      <c r="A10" s="77" t="s">
        <v>89</v>
      </c>
      <c r="B10" s="78">
        <v>8</v>
      </c>
      <c r="C10" s="79"/>
      <c r="D10" s="79"/>
      <c r="E10" s="79"/>
      <c r="F10" s="79"/>
      <c r="G10" s="79"/>
    </row>
    <row r="11" spans="1:7">
      <c r="A11" s="66" t="s">
        <v>90</v>
      </c>
      <c r="B11" s="69">
        <v>19</v>
      </c>
    </row>
    <row r="12" spans="1:7">
      <c r="A12" s="77" t="s">
        <v>115</v>
      </c>
      <c r="B12" s="78">
        <v>50</v>
      </c>
      <c r="C12" s="79"/>
      <c r="D12" s="79"/>
      <c r="E12" s="79"/>
      <c r="F12" s="79"/>
      <c r="G12" s="79"/>
    </row>
    <row r="13" spans="1:7">
      <c r="A13" s="67" t="s">
        <v>116</v>
      </c>
      <c r="B13" s="70">
        <v>20</v>
      </c>
    </row>
    <row r="14" spans="1:7">
      <c r="A14" s="80" t="s">
        <v>117</v>
      </c>
      <c r="B14" s="78">
        <v>37</v>
      </c>
      <c r="C14" s="79"/>
      <c r="D14" s="79"/>
      <c r="E14" s="79"/>
      <c r="F14" s="79"/>
      <c r="G14" s="79"/>
    </row>
    <row r="15" spans="1:7">
      <c r="A15" s="57" t="s">
        <v>118</v>
      </c>
      <c r="B15" s="70">
        <v>40</v>
      </c>
    </row>
    <row r="16" spans="1:7">
      <c r="A16" s="80" t="s">
        <v>230</v>
      </c>
      <c r="B16" s="78">
        <v>0</v>
      </c>
      <c r="C16" s="79"/>
      <c r="D16" s="79"/>
      <c r="E16" s="79"/>
      <c r="F16" s="79"/>
      <c r="G16" s="79"/>
    </row>
    <row r="17" spans="1:7">
      <c r="A17" s="57" t="s">
        <v>231</v>
      </c>
      <c r="B17" s="70">
        <v>0</v>
      </c>
    </row>
    <row r="18" spans="1:7">
      <c r="A18" s="80" t="s">
        <v>232</v>
      </c>
      <c r="B18" s="78">
        <v>0</v>
      </c>
      <c r="C18" s="79"/>
      <c r="D18" s="79"/>
      <c r="E18" s="79"/>
      <c r="F18" s="79"/>
      <c r="G18" s="79"/>
    </row>
    <row r="19" spans="1:7">
      <c r="A19" s="57" t="s">
        <v>233</v>
      </c>
      <c r="B19" s="70">
        <v>0</v>
      </c>
    </row>
    <row r="20" spans="1:7" ht="30">
      <c r="A20" s="80" t="s">
        <v>265</v>
      </c>
      <c r="B20" s="78">
        <v>3</v>
      </c>
      <c r="C20" s="79"/>
      <c r="D20" s="79"/>
      <c r="E20" s="79"/>
      <c r="F20" s="79"/>
      <c r="G20" s="79"/>
    </row>
    <row r="21" spans="1:7">
      <c r="A21" s="57" t="s">
        <v>267</v>
      </c>
      <c r="B21" s="70">
        <v>23</v>
      </c>
    </row>
    <row r="22" spans="1:7">
      <c r="A22" s="80" t="s">
        <v>269</v>
      </c>
      <c r="B22" s="78">
        <v>57</v>
      </c>
      <c r="C22" s="79"/>
      <c r="D22" s="79"/>
      <c r="E22" s="79"/>
      <c r="F22" s="79"/>
      <c r="G22" s="79"/>
    </row>
    <row r="23" spans="1:7" ht="30">
      <c r="A23" s="57" t="s">
        <v>268</v>
      </c>
      <c r="B23" s="71">
        <v>12</v>
      </c>
    </row>
    <row r="24" spans="1:7">
      <c r="A24" s="57"/>
      <c r="B24" s="81"/>
    </row>
    <row r="25" spans="1:7">
      <c r="A25" s="30" t="s">
        <v>261</v>
      </c>
    </row>
    <row r="27" spans="1:7">
      <c r="A27" s="27" t="s">
        <v>260</v>
      </c>
      <c r="B27" s="43">
        <f>B39+B36+B33+B30</f>
        <v>19</v>
      </c>
    </row>
    <row r="29" spans="1:7">
      <c r="A29" s="82" t="s">
        <v>234</v>
      </c>
      <c r="B29" s="83" t="s">
        <v>19</v>
      </c>
    </row>
    <row r="30" spans="1:7" ht="30">
      <c r="A30" s="59" t="s">
        <v>235</v>
      </c>
      <c r="B30" s="45">
        <v>10</v>
      </c>
    </row>
    <row r="31" spans="1:7" ht="30">
      <c r="A31" s="84" t="s">
        <v>283</v>
      </c>
      <c r="B31" s="85">
        <v>35</v>
      </c>
    </row>
    <row r="32" spans="1:7">
      <c r="A32" s="58" t="s">
        <v>242</v>
      </c>
      <c r="B32" s="44" t="s">
        <v>18</v>
      </c>
    </row>
    <row r="33" spans="1:2" ht="30">
      <c r="A33" s="86" t="s">
        <v>245</v>
      </c>
      <c r="B33" s="45">
        <v>8</v>
      </c>
    </row>
    <row r="34" spans="1:2" ht="30">
      <c r="A34" s="60" t="s">
        <v>239</v>
      </c>
      <c r="B34" s="46">
        <v>45</v>
      </c>
    </row>
    <row r="35" spans="1:2" ht="30">
      <c r="A35" s="82" t="s">
        <v>243</v>
      </c>
      <c r="B35" s="87" t="s">
        <v>46</v>
      </c>
    </row>
    <row r="36" spans="1:2">
      <c r="A36" s="59" t="s">
        <v>246</v>
      </c>
      <c r="B36" s="45">
        <v>0.5</v>
      </c>
    </row>
    <row r="37" spans="1:2" ht="30">
      <c r="A37" s="84" t="s">
        <v>240</v>
      </c>
      <c r="B37" s="85">
        <v>90</v>
      </c>
    </row>
    <row r="38" spans="1:2" ht="30">
      <c r="A38" s="58" t="s">
        <v>236</v>
      </c>
      <c r="B38" s="88" t="s">
        <v>62</v>
      </c>
    </row>
    <row r="39" spans="1:2">
      <c r="A39" s="86" t="s">
        <v>246</v>
      </c>
      <c r="B39" s="45">
        <v>0.5</v>
      </c>
    </row>
    <row r="40" spans="1:2" ht="30">
      <c r="A40" s="60" t="s">
        <v>240</v>
      </c>
      <c r="B40" s="46">
        <v>90</v>
      </c>
    </row>
    <row r="88" spans="1:1">
      <c r="A88" t="s">
        <v>11</v>
      </c>
    </row>
    <row r="89" spans="1:1">
      <c r="A89" t="s">
        <v>13</v>
      </c>
    </row>
    <row r="90" spans="1:1">
      <c r="A90" t="s">
        <v>14</v>
      </c>
    </row>
    <row r="91" spans="1:1">
      <c r="A91" t="s">
        <v>17</v>
      </c>
    </row>
    <row r="92" spans="1:1">
      <c r="A92" t="s">
        <v>18</v>
      </c>
    </row>
    <row r="93" spans="1:1">
      <c r="A93" t="s">
        <v>19</v>
      </c>
    </row>
    <row r="94" spans="1:1">
      <c r="A94" t="s">
        <v>20</v>
      </c>
    </row>
    <row r="95" spans="1:1">
      <c r="A95" t="s">
        <v>21</v>
      </c>
    </row>
    <row r="96" spans="1:1">
      <c r="A96" t="s">
        <v>22</v>
      </c>
    </row>
    <row r="97" spans="1:1">
      <c r="A97" t="s">
        <v>23</v>
      </c>
    </row>
    <row r="98" spans="1:1">
      <c r="A98" t="s">
        <v>25</v>
      </c>
    </row>
    <row r="99" spans="1:1">
      <c r="A99" t="s">
        <v>27</v>
      </c>
    </row>
    <row r="100" spans="1:1">
      <c r="A100" t="s">
        <v>28</v>
      </c>
    </row>
    <row r="101" spans="1:1">
      <c r="A101" t="s">
        <v>29</v>
      </c>
    </row>
    <row r="102" spans="1:1">
      <c r="A102" t="s">
        <v>61</v>
      </c>
    </row>
    <row r="103" spans="1:1">
      <c r="A103" t="s">
        <v>31</v>
      </c>
    </row>
    <row r="104" spans="1:1">
      <c r="A104" t="s">
        <v>33</v>
      </c>
    </row>
    <row r="105" spans="1:1">
      <c r="A105" t="s">
        <v>34</v>
      </c>
    </row>
    <row r="106" spans="1:1">
      <c r="A106" t="s">
        <v>35</v>
      </c>
    </row>
    <row r="107" spans="1:1">
      <c r="A107" t="s">
        <v>36</v>
      </c>
    </row>
    <row r="108" spans="1:1">
      <c r="A108" t="s">
        <v>37</v>
      </c>
    </row>
    <row r="109" spans="1:1">
      <c r="A109" t="s">
        <v>38</v>
      </c>
    </row>
    <row r="110" spans="1:1">
      <c r="A110" t="s">
        <v>39</v>
      </c>
    </row>
    <row r="111" spans="1:1">
      <c r="A111" t="s">
        <v>52</v>
      </c>
    </row>
    <row r="112" spans="1:1">
      <c r="A112" t="s">
        <v>40</v>
      </c>
    </row>
    <row r="113" spans="1:1">
      <c r="A113" t="s">
        <v>41</v>
      </c>
    </row>
    <row r="114" spans="1:1">
      <c r="A114" t="s">
        <v>53</v>
      </c>
    </row>
    <row r="115" spans="1:1">
      <c r="A115" t="s">
        <v>42</v>
      </c>
    </row>
    <row r="116" spans="1:1">
      <c r="A116" t="s">
        <v>43</v>
      </c>
    </row>
    <row r="117" spans="1:1">
      <c r="A117" t="s">
        <v>44</v>
      </c>
    </row>
    <row r="118" spans="1:1">
      <c r="A118" t="s">
        <v>46</v>
      </c>
    </row>
    <row r="119" spans="1:1">
      <c r="A119" t="s">
        <v>47</v>
      </c>
    </row>
    <row r="120" spans="1:1">
      <c r="A120" t="s">
        <v>62</v>
      </c>
    </row>
    <row r="121" spans="1:1">
      <c r="A121" t="s">
        <v>48</v>
      </c>
    </row>
    <row r="122" spans="1:1">
      <c r="A122" t="s">
        <v>49</v>
      </c>
    </row>
    <row r="123" spans="1:1">
      <c r="A123" t="s">
        <v>237</v>
      </c>
    </row>
    <row r="124" spans="1:1">
      <c r="A124" t="s">
        <v>241</v>
      </c>
    </row>
  </sheetData>
  <phoneticPr fontId="16" type="noConversion"/>
  <dataValidations disablePrompts="1" count="5">
    <dataValidation type="list" allowBlank="1" showInputMessage="1" showErrorMessage="1" sqref="B29">
      <formula1>A88:A124</formula1>
    </dataValidation>
    <dataValidation type="list" allowBlank="1" showInputMessage="1" showErrorMessage="1" sqref="B32 B35 B38">
      <formula1>$A$88:$A$124</formula1>
    </dataValidation>
    <dataValidation type="list" allowBlank="1" showInputMessage="1" showErrorMessage="1" sqref="B7">
      <formula1>"Studio, 1-Bedroom, 2-Bedroom, 3-Bedroom, 4-Bedroom"</formula1>
    </dataValidation>
    <dataValidation type="whole" allowBlank="1" showInputMessage="1" showErrorMessage="1" sqref="B8 B10:B24">
      <formula1>0</formula1>
      <formula2>100</formula2>
    </dataValidation>
    <dataValidation type="whole" operator="greaterThan" allowBlank="1" showInputMessage="1" showErrorMessage="1" sqref="B3">
      <formula1>0</formula1>
    </dataValidation>
  </dataValidation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C5" sqref="C5"/>
    </sheetView>
  </sheetViews>
  <sheetFormatPr defaultRowHeight="15"/>
  <cols>
    <col min="1" max="1" width="3" bestFit="1" customWidth="1"/>
    <col min="2" max="2" width="27.42578125" bestFit="1" customWidth="1"/>
    <col min="4" max="4" width="12" bestFit="1" customWidth="1"/>
    <col min="5" max="5" width="12" customWidth="1"/>
  </cols>
  <sheetData>
    <row r="1" spans="1:7">
      <c r="B1" t="s">
        <v>295</v>
      </c>
      <c r="C1" s="7">
        <f>Inputs!B15</f>
        <v>40</v>
      </c>
    </row>
    <row r="3" spans="1:7" ht="30">
      <c r="B3" s="16" t="s">
        <v>309</v>
      </c>
      <c r="C3" t="s">
        <v>300</v>
      </c>
      <c r="D3" s="12" t="s">
        <v>263</v>
      </c>
    </row>
    <row r="4" spans="1:7">
      <c r="B4" s="16"/>
      <c r="C4" t="s">
        <v>297</v>
      </c>
      <c r="D4" t="s">
        <v>298</v>
      </c>
    </row>
    <row r="5" spans="1:7">
      <c r="A5">
        <v>1</v>
      </c>
      <c r="B5" t="s">
        <v>11</v>
      </c>
      <c r="C5" s="8">
        <v>0</v>
      </c>
      <c r="D5">
        <f>ROUND(C5*$C$1*0.7,0)</f>
        <v>0</v>
      </c>
      <c r="F5" t="s">
        <v>308</v>
      </c>
      <c r="G5" s="18"/>
    </row>
    <row r="6" spans="1:7">
      <c r="A6">
        <f t="shared" ref="A6:A39" si="0">+A5+1</f>
        <v>2</v>
      </c>
      <c r="B6" t="s">
        <v>13</v>
      </c>
      <c r="C6" s="8">
        <v>7</v>
      </c>
      <c r="D6">
        <f t="shared" ref="D6:D39" si="1">ROUND(C6*$C$1*0.7,0)</f>
        <v>196</v>
      </c>
    </row>
    <row r="7" spans="1:7">
      <c r="A7">
        <f t="shared" si="0"/>
        <v>3</v>
      </c>
      <c r="B7" t="s">
        <v>14</v>
      </c>
      <c r="C7" s="8">
        <v>3</v>
      </c>
      <c r="D7">
        <f t="shared" si="1"/>
        <v>84</v>
      </c>
    </row>
    <row r="8" spans="1:7">
      <c r="A8">
        <f t="shared" si="0"/>
        <v>4</v>
      </c>
      <c r="B8" t="s">
        <v>17</v>
      </c>
      <c r="C8" s="8">
        <v>0</v>
      </c>
      <c r="D8">
        <f t="shared" si="1"/>
        <v>0</v>
      </c>
    </row>
    <row r="9" spans="1:7">
      <c r="A9">
        <f t="shared" si="0"/>
        <v>5</v>
      </c>
      <c r="B9" t="s">
        <v>18</v>
      </c>
      <c r="C9" s="8">
        <v>3</v>
      </c>
      <c r="D9">
        <f t="shared" si="1"/>
        <v>84</v>
      </c>
    </row>
    <row r="10" spans="1:7">
      <c r="A10">
        <f t="shared" si="0"/>
        <v>6</v>
      </c>
      <c r="B10" t="s">
        <v>19</v>
      </c>
      <c r="C10" s="8">
        <v>3</v>
      </c>
      <c r="D10">
        <f t="shared" si="1"/>
        <v>84</v>
      </c>
    </row>
    <row r="11" spans="1:7">
      <c r="A11">
        <f t="shared" si="0"/>
        <v>7</v>
      </c>
      <c r="B11" t="s">
        <v>20</v>
      </c>
      <c r="C11" s="8">
        <v>3</v>
      </c>
      <c r="D11">
        <f t="shared" si="1"/>
        <v>84</v>
      </c>
    </row>
    <row r="12" spans="1:7">
      <c r="A12">
        <f t="shared" si="0"/>
        <v>8</v>
      </c>
      <c r="B12" t="s">
        <v>21</v>
      </c>
      <c r="C12" s="8">
        <v>3</v>
      </c>
      <c r="D12">
        <f t="shared" si="1"/>
        <v>84</v>
      </c>
    </row>
    <row r="13" spans="1:7">
      <c r="A13">
        <f t="shared" si="0"/>
        <v>9</v>
      </c>
      <c r="B13" t="s">
        <v>22</v>
      </c>
      <c r="C13" s="8">
        <v>3</v>
      </c>
      <c r="D13">
        <f t="shared" si="1"/>
        <v>84</v>
      </c>
    </row>
    <row r="14" spans="1:7">
      <c r="A14">
        <f t="shared" si="0"/>
        <v>10</v>
      </c>
      <c r="B14" t="s">
        <v>23</v>
      </c>
      <c r="C14" s="8">
        <v>10</v>
      </c>
      <c r="D14">
        <f t="shared" si="1"/>
        <v>280</v>
      </c>
    </row>
    <row r="15" spans="1:7">
      <c r="A15">
        <f t="shared" si="0"/>
        <v>11</v>
      </c>
      <c r="B15" t="s">
        <v>25</v>
      </c>
      <c r="C15" s="8">
        <v>0</v>
      </c>
      <c r="D15">
        <f t="shared" si="1"/>
        <v>0</v>
      </c>
    </row>
    <row r="16" spans="1:7">
      <c r="A16">
        <f t="shared" si="0"/>
        <v>12</v>
      </c>
      <c r="B16" t="s">
        <v>27</v>
      </c>
      <c r="C16" s="8">
        <v>0</v>
      </c>
      <c r="D16">
        <f t="shared" si="1"/>
        <v>0</v>
      </c>
    </row>
    <row r="17" spans="1:4">
      <c r="A17">
        <f t="shared" si="0"/>
        <v>13</v>
      </c>
      <c r="B17" t="s">
        <v>28</v>
      </c>
      <c r="C17" s="8">
        <v>3</v>
      </c>
      <c r="D17">
        <f t="shared" si="1"/>
        <v>84</v>
      </c>
    </row>
    <row r="18" spans="1:4">
      <c r="A18">
        <f t="shared" si="0"/>
        <v>14</v>
      </c>
      <c r="B18" t="s">
        <v>29</v>
      </c>
      <c r="C18" s="8">
        <v>0</v>
      </c>
      <c r="D18">
        <f t="shared" si="1"/>
        <v>0</v>
      </c>
    </row>
    <row r="19" spans="1:4">
      <c r="A19">
        <f t="shared" si="0"/>
        <v>15</v>
      </c>
      <c r="B19" t="s">
        <v>61</v>
      </c>
      <c r="C19" s="8">
        <v>3</v>
      </c>
      <c r="D19">
        <f t="shared" si="1"/>
        <v>84</v>
      </c>
    </row>
    <row r="20" spans="1:4">
      <c r="A20">
        <f t="shared" si="0"/>
        <v>16</v>
      </c>
      <c r="B20" t="s">
        <v>31</v>
      </c>
      <c r="C20" s="8">
        <v>0</v>
      </c>
      <c r="D20">
        <f t="shared" si="1"/>
        <v>0</v>
      </c>
    </row>
    <row r="21" spans="1:4">
      <c r="A21">
        <f t="shared" si="0"/>
        <v>17</v>
      </c>
      <c r="B21" t="s">
        <v>33</v>
      </c>
      <c r="C21" s="8">
        <v>7</v>
      </c>
      <c r="D21">
        <f t="shared" si="1"/>
        <v>196</v>
      </c>
    </row>
    <row r="22" spans="1:4">
      <c r="A22">
        <f t="shared" si="0"/>
        <v>18</v>
      </c>
      <c r="B22" t="s">
        <v>34</v>
      </c>
      <c r="C22" s="8">
        <v>10</v>
      </c>
      <c r="D22">
        <f t="shared" si="1"/>
        <v>280</v>
      </c>
    </row>
    <row r="23" spans="1:4">
      <c r="A23">
        <f t="shared" si="0"/>
        <v>19</v>
      </c>
      <c r="B23" t="s">
        <v>35</v>
      </c>
      <c r="C23" s="8">
        <v>7</v>
      </c>
      <c r="D23">
        <f t="shared" si="1"/>
        <v>196</v>
      </c>
    </row>
    <row r="24" spans="1:4">
      <c r="A24">
        <f t="shared" si="0"/>
        <v>20</v>
      </c>
      <c r="B24" t="s">
        <v>36</v>
      </c>
      <c r="C24" s="8">
        <v>7</v>
      </c>
      <c r="D24">
        <f t="shared" si="1"/>
        <v>196</v>
      </c>
    </row>
    <row r="25" spans="1:4">
      <c r="A25">
        <f t="shared" si="0"/>
        <v>21</v>
      </c>
      <c r="B25" t="s">
        <v>37</v>
      </c>
      <c r="C25" s="8">
        <v>0</v>
      </c>
      <c r="D25">
        <f t="shared" si="1"/>
        <v>0</v>
      </c>
    </row>
    <row r="26" spans="1:4">
      <c r="A26">
        <f t="shared" si="0"/>
        <v>22</v>
      </c>
      <c r="B26" t="s">
        <v>38</v>
      </c>
      <c r="C26" s="8">
        <v>3</v>
      </c>
      <c r="D26">
        <f t="shared" si="1"/>
        <v>84</v>
      </c>
    </row>
    <row r="27" spans="1:4">
      <c r="A27">
        <f t="shared" si="0"/>
        <v>23</v>
      </c>
      <c r="B27" t="s">
        <v>39</v>
      </c>
      <c r="C27" s="8">
        <v>3</v>
      </c>
      <c r="D27">
        <f t="shared" si="1"/>
        <v>84</v>
      </c>
    </row>
    <row r="28" spans="1:4">
      <c r="A28">
        <f t="shared" si="0"/>
        <v>24</v>
      </c>
      <c r="B28" t="s">
        <v>52</v>
      </c>
      <c r="C28" s="8">
        <v>3</v>
      </c>
      <c r="D28">
        <f t="shared" si="1"/>
        <v>84</v>
      </c>
    </row>
    <row r="29" spans="1:4">
      <c r="A29">
        <f t="shared" si="0"/>
        <v>25</v>
      </c>
      <c r="B29" t="s">
        <v>40</v>
      </c>
      <c r="C29" s="8">
        <v>0</v>
      </c>
      <c r="D29">
        <f t="shared" si="1"/>
        <v>0</v>
      </c>
    </row>
    <row r="30" spans="1:4">
      <c r="A30">
        <f t="shared" si="0"/>
        <v>26</v>
      </c>
      <c r="B30" t="s">
        <v>41</v>
      </c>
      <c r="C30" s="8">
        <v>7</v>
      </c>
      <c r="D30">
        <f t="shared" si="1"/>
        <v>196</v>
      </c>
    </row>
    <row r="31" spans="1:4">
      <c r="A31">
        <f t="shared" si="0"/>
        <v>27</v>
      </c>
      <c r="B31" t="s">
        <v>53</v>
      </c>
      <c r="C31" s="8">
        <v>3</v>
      </c>
      <c r="D31">
        <f t="shared" si="1"/>
        <v>84</v>
      </c>
    </row>
    <row r="32" spans="1:4">
      <c r="A32">
        <f t="shared" si="0"/>
        <v>28</v>
      </c>
      <c r="B32" t="s">
        <v>42</v>
      </c>
      <c r="C32" s="8">
        <v>0</v>
      </c>
      <c r="D32">
        <f t="shared" si="1"/>
        <v>0</v>
      </c>
    </row>
    <row r="33" spans="1:4">
      <c r="A33">
        <f t="shared" si="0"/>
        <v>29</v>
      </c>
      <c r="B33" t="s">
        <v>43</v>
      </c>
      <c r="C33" s="8">
        <v>7</v>
      </c>
      <c r="D33">
        <f t="shared" si="1"/>
        <v>196</v>
      </c>
    </row>
    <row r="34" spans="1:4">
      <c r="A34">
        <f t="shared" si="0"/>
        <v>30</v>
      </c>
      <c r="B34" t="s">
        <v>44</v>
      </c>
      <c r="C34" s="8">
        <v>3</v>
      </c>
      <c r="D34">
        <f t="shared" si="1"/>
        <v>84</v>
      </c>
    </row>
    <row r="35" spans="1:4">
      <c r="A35">
        <f t="shared" si="0"/>
        <v>31</v>
      </c>
      <c r="B35" t="s">
        <v>46</v>
      </c>
      <c r="C35" s="8">
        <v>10</v>
      </c>
      <c r="D35">
        <f t="shared" si="1"/>
        <v>280</v>
      </c>
    </row>
    <row r="36" spans="1:4">
      <c r="A36">
        <f t="shared" si="0"/>
        <v>32</v>
      </c>
      <c r="B36" t="s">
        <v>47</v>
      </c>
      <c r="C36" s="8">
        <v>0</v>
      </c>
      <c r="D36">
        <f t="shared" si="1"/>
        <v>0</v>
      </c>
    </row>
    <row r="37" spans="1:4">
      <c r="A37">
        <f t="shared" si="0"/>
        <v>33</v>
      </c>
      <c r="B37" t="s">
        <v>62</v>
      </c>
      <c r="C37" s="8">
        <v>0</v>
      </c>
      <c r="D37">
        <f t="shared" si="1"/>
        <v>0</v>
      </c>
    </row>
    <row r="38" spans="1:4">
      <c r="A38">
        <f t="shared" si="0"/>
        <v>34</v>
      </c>
      <c r="B38" t="s">
        <v>48</v>
      </c>
      <c r="C38" s="8">
        <v>0</v>
      </c>
      <c r="D38">
        <f t="shared" si="1"/>
        <v>0</v>
      </c>
    </row>
    <row r="39" spans="1:4">
      <c r="A39">
        <f t="shared" si="0"/>
        <v>35</v>
      </c>
      <c r="B39" t="s">
        <v>49</v>
      </c>
      <c r="C39" s="8">
        <v>10</v>
      </c>
      <c r="D39">
        <f t="shared" si="1"/>
        <v>280</v>
      </c>
    </row>
    <row r="41" spans="1:4">
      <c r="A41" s="131">
        <f>OBJ!C2</f>
        <v>5</v>
      </c>
      <c r="B41" s="131" t="str">
        <f>OBJ!B2</f>
        <v>East Village</v>
      </c>
      <c r="C41" s="132">
        <f>VLOOKUP($B41,$B$5:$D$39,COLUMN(B40),FALSE)</f>
        <v>3</v>
      </c>
      <c r="D41" s="132">
        <f>VLOOKUP($B41,$B$5:$D$39,COLUMN(C40),FALSE)</f>
        <v>84</v>
      </c>
    </row>
    <row r="42" spans="1:4">
      <c r="A42" s="131">
        <f>OBJ!C3</f>
        <v>33</v>
      </c>
      <c r="B42" s="131" t="str">
        <f>OBJ!B3</f>
        <v>Upper West Side</v>
      </c>
      <c r="C42" s="132">
        <f t="shared" ref="C42:D43" si="2">VLOOKUP($B42,$B$5:$D$39,COLUMN(B41),FALSE)</f>
        <v>0</v>
      </c>
      <c r="D42" s="132">
        <f t="shared" si="2"/>
        <v>0</v>
      </c>
    </row>
    <row r="43" spans="1:4">
      <c r="A43" s="131">
        <f>OBJ!C4</f>
        <v>18</v>
      </c>
      <c r="B43" s="131" t="str">
        <f>OBJ!B4</f>
        <v>Midtown East</v>
      </c>
      <c r="C43" s="132">
        <f t="shared" si="2"/>
        <v>10</v>
      </c>
      <c r="D43" s="132">
        <f t="shared" si="2"/>
        <v>280</v>
      </c>
    </row>
  </sheetData>
  <phoneticPr fontId="0" type="noConversion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"/>
  <dimension ref="A1:AB67"/>
  <sheetViews>
    <sheetView topLeftCell="C1" workbookViewId="0">
      <selection activeCell="E1" sqref="E1"/>
    </sheetView>
  </sheetViews>
  <sheetFormatPr defaultRowHeight="15"/>
  <cols>
    <col min="1" max="1" width="3" bestFit="1" customWidth="1"/>
    <col min="2" max="2" width="27.85546875" bestFit="1" customWidth="1"/>
    <col min="3" max="3" width="10.85546875" bestFit="1" customWidth="1"/>
    <col min="4" max="4" width="10.85546875" customWidth="1"/>
    <col min="5" max="5" width="6.42578125" customWidth="1"/>
    <col min="6" max="6" width="3.7109375" customWidth="1"/>
    <col min="7" max="10" width="10.85546875" bestFit="1" customWidth="1"/>
    <col min="11" max="11" width="11.85546875" bestFit="1" customWidth="1"/>
    <col min="12" max="12" width="2.140625" customWidth="1"/>
    <col min="13" max="13" width="10.85546875" bestFit="1" customWidth="1"/>
    <col min="14" max="16" width="10.85546875" customWidth="1"/>
    <col min="17" max="17" width="10.85546875" bestFit="1" customWidth="1"/>
    <col min="18" max="18" width="10.85546875" customWidth="1"/>
    <col min="19" max="19" width="11.85546875" bestFit="1" customWidth="1"/>
    <col min="20" max="20" width="10.85546875" bestFit="1" customWidth="1"/>
    <col min="21" max="21" width="27.42578125" bestFit="1" customWidth="1"/>
    <col min="22" max="22" width="10.85546875" bestFit="1" customWidth="1"/>
    <col min="23" max="23" width="27.42578125" bestFit="1" customWidth="1"/>
    <col min="24" max="24" width="10.85546875" bestFit="1" customWidth="1"/>
    <col min="25" max="25" width="27.42578125" bestFit="1" customWidth="1"/>
    <col min="26" max="26" width="11.85546875" bestFit="1" customWidth="1"/>
    <col min="28" max="28" width="11.85546875" bestFit="1" customWidth="1"/>
  </cols>
  <sheetData>
    <row r="1" spans="1:28" ht="15.75" thickBot="1">
      <c r="C1" t="str">
        <f>Inputs!B7</f>
        <v>1-Bedroom</v>
      </c>
      <c r="E1" s="3">
        <f>Inputs!B8</f>
        <v>29</v>
      </c>
      <c r="F1" s="4"/>
      <c r="G1" t="s">
        <v>51</v>
      </c>
      <c r="H1" t="s">
        <v>63</v>
      </c>
      <c r="I1" t="s">
        <v>64</v>
      </c>
      <c r="J1" t="s">
        <v>65</v>
      </c>
      <c r="K1" t="s">
        <v>66</v>
      </c>
      <c r="M1" t="s">
        <v>51</v>
      </c>
      <c r="N1" t="s">
        <v>63</v>
      </c>
      <c r="O1" t="s">
        <v>64</v>
      </c>
      <c r="P1" t="s">
        <v>65</v>
      </c>
      <c r="Q1" t="s">
        <v>66</v>
      </c>
      <c r="T1" t="s">
        <v>51</v>
      </c>
      <c r="V1" t="s">
        <v>60</v>
      </c>
      <c r="X1" t="s">
        <v>59</v>
      </c>
      <c r="Z1" t="s">
        <v>57</v>
      </c>
      <c r="AB1" t="s">
        <v>56</v>
      </c>
    </row>
    <row r="2" spans="1:28">
      <c r="A2">
        <v>1</v>
      </c>
      <c r="B2" t="s">
        <v>11</v>
      </c>
      <c r="C2" s="2">
        <f t="shared" ref="C2:C36" si="0">HLOOKUP(C$1,$M$1:$Q$36,ROW(B2),FALSE)</f>
        <v>0.63594994311717856</v>
      </c>
      <c r="D2" s="5">
        <f>10-NORMDIST(C2,$C$40,$C$41,TRUE)*10</f>
        <v>7.2346925170125775</v>
      </c>
      <c r="E2" s="5">
        <f>D2*E$1</f>
        <v>209.80608299336475</v>
      </c>
      <c r="G2" s="1">
        <f t="shared" ref="G2:G36" si="1">VLOOKUP(B2,S$2:T$50,2,FALSE)</f>
        <v>402500</v>
      </c>
      <c r="H2" s="1">
        <f>VLOOKUP($B2,U$2:V$50,2,FALSE)</f>
        <v>559000</v>
      </c>
      <c r="I2" s="1">
        <f>VLOOKUP($B2,W$2:X$50,2,FALSE)</f>
        <v>1275000</v>
      </c>
      <c r="J2" s="1">
        <f>VLOOKUP($B2,Y$2:Z$50,2,FALSE)</f>
        <v>2237000</v>
      </c>
      <c r="K2" s="1" t="e">
        <f>VLOOKUP($B2,AA$2:AB$50,2,FALSE)</f>
        <v>#N/A</v>
      </c>
      <c r="M2" s="2">
        <f>IF(ISERROR(G2/G$3),1,(G2/G$3))</f>
        <v>0.80661322645290578</v>
      </c>
      <c r="N2" s="2">
        <f t="shared" ref="N2:N36" si="2">IFERROR(H2/H$3,1)</f>
        <v>0.63594994311717856</v>
      </c>
      <c r="O2" s="2">
        <f t="shared" ref="O2:O14" si="3">IF(ISERROR(I2/I$3),1,(I2/I$3))</f>
        <v>0.73233773693279725</v>
      </c>
      <c r="P2" s="2">
        <f t="shared" ref="P2:P14" si="4">IF(ISERROR(J2/J$3),1,(J2/J$3))</f>
        <v>0.68830769230769229</v>
      </c>
      <c r="Q2" s="2">
        <f t="shared" ref="Q2:Q14" si="5">IF(ISERROR(K2/K$3),1,(K2/K$3))</f>
        <v>1</v>
      </c>
      <c r="R2" s="2"/>
      <c r="S2" t="s">
        <v>11</v>
      </c>
      <c r="T2" s="1">
        <v>402500</v>
      </c>
      <c r="U2" t="s">
        <v>11</v>
      </c>
      <c r="V2" s="1">
        <v>559000</v>
      </c>
      <c r="W2" t="s">
        <v>11</v>
      </c>
      <c r="X2" s="1">
        <v>1275000</v>
      </c>
      <c r="Y2" t="s">
        <v>11</v>
      </c>
      <c r="Z2" s="1">
        <v>2237000</v>
      </c>
      <c r="AA2" t="s">
        <v>12</v>
      </c>
      <c r="AB2" s="1">
        <v>4800000</v>
      </c>
    </row>
    <row r="3" spans="1:28">
      <c r="A3">
        <f>+A2+1</f>
        <v>2</v>
      </c>
      <c r="B3" t="s">
        <v>13</v>
      </c>
      <c r="C3" s="2">
        <f t="shared" si="0"/>
        <v>1</v>
      </c>
      <c r="D3" s="5">
        <f t="shared" ref="D3:D36" si="6">10-NORMDIST(C3,$C$40,$C$41,TRUE)*10</f>
        <v>4.7526503575857966</v>
      </c>
      <c r="E3" s="5">
        <f t="shared" ref="E3:E36" si="7">D3*E$1</f>
        <v>137.82686036998811</v>
      </c>
      <c r="G3" s="1">
        <f t="shared" si="1"/>
        <v>499000</v>
      </c>
      <c r="H3" s="1">
        <f t="shared" ref="H3:H36" si="8">VLOOKUP($B3,U$2:V$50,2,FALSE)</f>
        <v>879000</v>
      </c>
      <c r="I3" s="1">
        <f t="shared" ref="I3:I36" si="9">VLOOKUP($B3,W$2:X$50,2,FALSE)</f>
        <v>1741000</v>
      </c>
      <c r="J3" s="1">
        <f t="shared" ref="J3:J36" si="10">VLOOKUP($B3,Y$2:Z$50,2,FALSE)</f>
        <v>3250000</v>
      </c>
      <c r="K3" s="1">
        <f t="shared" ref="K3:K36" si="11">VLOOKUP($B3,AA$2:AB$50,2,FALSE)</f>
        <v>5400000</v>
      </c>
      <c r="M3" s="2">
        <f t="shared" ref="M3:M36" si="12">IF(ISERROR(G3/G$3),1,(G3/G$3))</f>
        <v>1</v>
      </c>
      <c r="N3" s="2">
        <f t="shared" si="2"/>
        <v>1</v>
      </c>
      <c r="O3" s="2">
        <f t="shared" si="3"/>
        <v>1</v>
      </c>
      <c r="P3" s="2">
        <f t="shared" si="4"/>
        <v>1</v>
      </c>
      <c r="Q3" s="2">
        <f t="shared" si="5"/>
        <v>1</v>
      </c>
      <c r="R3" s="2"/>
      <c r="S3" t="s">
        <v>12</v>
      </c>
      <c r="T3" s="1">
        <v>539000</v>
      </c>
      <c r="U3" t="s">
        <v>12</v>
      </c>
      <c r="V3" s="1">
        <v>627000</v>
      </c>
      <c r="W3" t="s">
        <v>12</v>
      </c>
      <c r="X3" s="1">
        <v>1625000</v>
      </c>
      <c r="Y3" t="s">
        <v>12</v>
      </c>
      <c r="Z3" s="1">
        <v>3250000</v>
      </c>
      <c r="AA3" t="s">
        <v>13</v>
      </c>
      <c r="AB3" s="1">
        <v>5400000</v>
      </c>
    </row>
    <row r="4" spans="1:28">
      <c r="A4">
        <f t="shared" ref="A4:A36" si="13">+A3+1</f>
        <v>3</v>
      </c>
      <c r="B4" t="s">
        <v>14</v>
      </c>
      <c r="C4" s="2">
        <f t="shared" si="0"/>
        <v>0.79522184300341292</v>
      </c>
      <c r="D4" s="5">
        <f t="shared" si="6"/>
        <v>6.2039565284685549</v>
      </c>
      <c r="E4" s="5">
        <f t="shared" si="7"/>
        <v>179.9147393255881</v>
      </c>
      <c r="G4" s="1">
        <f t="shared" si="1"/>
        <v>650000</v>
      </c>
      <c r="H4" s="1">
        <f t="shared" si="8"/>
        <v>699000</v>
      </c>
      <c r="I4" s="1">
        <f t="shared" si="9"/>
        <v>1250000</v>
      </c>
      <c r="J4" s="1">
        <f t="shared" si="10"/>
        <v>6495000</v>
      </c>
      <c r="K4" s="1">
        <f t="shared" si="11"/>
        <v>1498000</v>
      </c>
      <c r="M4" s="2">
        <f t="shared" si="12"/>
        <v>1.3026052104208417</v>
      </c>
      <c r="N4" s="2">
        <f t="shared" si="2"/>
        <v>0.79522184300341292</v>
      </c>
      <c r="O4" s="2">
        <f t="shared" si="3"/>
        <v>0.71797817346352666</v>
      </c>
      <c r="P4" s="2">
        <f t="shared" si="4"/>
        <v>1.9984615384615385</v>
      </c>
      <c r="Q4" s="2">
        <f t="shared" si="5"/>
        <v>0.27740740740740738</v>
      </c>
      <c r="R4" s="2"/>
      <c r="S4" t="s">
        <v>13</v>
      </c>
      <c r="T4" s="1">
        <v>499000</v>
      </c>
      <c r="U4" t="s">
        <v>13</v>
      </c>
      <c r="V4" s="1">
        <v>879000</v>
      </c>
      <c r="W4" t="s">
        <v>13</v>
      </c>
      <c r="X4" s="1">
        <v>1741000</v>
      </c>
      <c r="Y4" t="s">
        <v>13</v>
      </c>
      <c r="Z4" s="1">
        <v>3250000</v>
      </c>
      <c r="AA4" t="s">
        <v>14</v>
      </c>
      <c r="AB4" s="1">
        <v>1498000</v>
      </c>
    </row>
    <row r="5" spans="1:28">
      <c r="A5">
        <f t="shared" si="13"/>
        <v>4</v>
      </c>
      <c r="B5" t="s">
        <v>17</v>
      </c>
      <c r="C5" s="2">
        <f t="shared" si="0"/>
        <v>0.56769055745164965</v>
      </c>
      <c r="D5" s="5">
        <f t="shared" si="6"/>
        <v>7.6301437248141157</v>
      </c>
      <c r="E5" s="5">
        <f t="shared" si="7"/>
        <v>221.27416801960936</v>
      </c>
      <c r="G5" s="1">
        <f t="shared" si="1"/>
        <v>319500</v>
      </c>
      <c r="H5" s="1">
        <f t="shared" si="8"/>
        <v>499000</v>
      </c>
      <c r="I5" s="1">
        <f t="shared" si="9"/>
        <v>625000</v>
      </c>
      <c r="J5" s="1">
        <f t="shared" si="10"/>
        <v>1099000</v>
      </c>
      <c r="K5" s="1">
        <f t="shared" si="11"/>
        <v>1999500</v>
      </c>
      <c r="M5" s="2">
        <f t="shared" si="12"/>
        <v>0.64028056112224452</v>
      </c>
      <c r="N5" s="2">
        <f t="shared" si="2"/>
        <v>0.56769055745164965</v>
      </c>
      <c r="O5" s="2">
        <f t="shared" si="3"/>
        <v>0.35898908673176333</v>
      </c>
      <c r="P5" s="2">
        <f t="shared" si="4"/>
        <v>0.33815384615384614</v>
      </c>
      <c r="Q5" s="2">
        <f t="shared" si="5"/>
        <v>0.37027777777777776</v>
      </c>
      <c r="R5" s="2"/>
      <c r="S5" t="s">
        <v>14</v>
      </c>
      <c r="T5" s="1">
        <v>650000</v>
      </c>
      <c r="U5" t="s">
        <v>14</v>
      </c>
      <c r="V5" s="1">
        <v>699000</v>
      </c>
      <c r="W5" t="s">
        <v>14</v>
      </c>
      <c r="X5" s="1">
        <v>1250000</v>
      </c>
      <c r="Y5" t="s">
        <v>14</v>
      </c>
      <c r="Z5" s="1">
        <v>6495000</v>
      </c>
      <c r="AA5" t="s">
        <v>16</v>
      </c>
      <c r="AB5" s="1">
        <v>5397500</v>
      </c>
    </row>
    <row r="6" spans="1:28">
      <c r="A6">
        <f t="shared" si="13"/>
        <v>5</v>
      </c>
      <c r="B6" t="s">
        <v>18</v>
      </c>
      <c r="C6" s="2">
        <f t="shared" si="0"/>
        <v>0.73947667804323092</v>
      </c>
      <c r="D6" s="5">
        <f t="shared" si="6"/>
        <v>6.5794115179975385</v>
      </c>
      <c r="E6" s="5">
        <f t="shared" si="7"/>
        <v>190.80293402192862</v>
      </c>
      <c r="G6" s="1">
        <f t="shared" si="1"/>
        <v>567000</v>
      </c>
      <c r="H6" s="1">
        <f t="shared" si="8"/>
        <v>650000</v>
      </c>
      <c r="I6" s="1">
        <f t="shared" si="9"/>
        <v>1070000</v>
      </c>
      <c r="J6" s="1">
        <f t="shared" si="10"/>
        <v>2997500</v>
      </c>
      <c r="K6" s="1">
        <f t="shared" si="11"/>
        <v>6292500</v>
      </c>
      <c r="M6" s="2">
        <f t="shared" si="12"/>
        <v>1.1362725450901803</v>
      </c>
      <c r="N6" s="2">
        <f t="shared" si="2"/>
        <v>0.73947667804323092</v>
      </c>
      <c r="O6" s="2">
        <f t="shared" si="3"/>
        <v>0.61458931648477888</v>
      </c>
      <c r="P6" s="2">
        <f t="shared" si="4"/>
        <v>0.92230769230769227</v>
      </c>
      <c r="Q6" s="2">
        <f t="shared" si="5"/>
        <v>1.1652777777777779</v>
      </c>
      <c r="R6" s="2"/>
      <c r="S6" t="s">
        <v>15</v>
      </c>
      <c r="T6" s="1">
        <v>399000</v>
      </c>
      <c r="U6" t="s">
        <v>15</v>
      </c>
      <c r="V6" s="1">
        <v>539000</v>
      </c>
      <c r="W6" t="s">
        <v>15</v>
      </c>
      <c r="X6" s="1">
        <v>2047500</v>
      </c>
      <c r="Y6" t="s">
        <v>15</v>
      </c>
      <c r="Z6" s="1">
        <v>938000</v>
      </c>
      <c r="AA6" t="s">
        <v>17</v>
      </c>
      <c r="AB6" s="1">
        <v>1999500</v>
      </c>
    </row>
    <row r="7" spans="1:28">
      <c r="A7">
        <f t="shared" si="13"/>
        <v>6</v>
      </c>
      <c r="B7" t="s">
        <v>19</v>
      </c>
      <c r="C7" s="2">
        <f t="shared" si="0"/>
        <v>1.018202502844141</v>
      </c>
      <c r="D7" s="5">
        <f t="shared" si="6"/>
        <v>4.6223599539214284</v>
      </c>
      <c r="E7" s="5">
        <f t="shared" si="7"/>
        <v>134.04843866372141</v>
      </c>
      <c r="G7" s="1">
        <f t="shared" si="1"/>
        <v>645000</v>
      </c>
      <c r="H7" s="1">
        <f t="shared" si="8"/>
        <v>895000</v>
      </c>
      <c r="I7" s="1">
        <f t="shared" si="9"/>
        <v>1352500</v>
      </c>
      <c r="J7" s="1">
        <f t="shared" si="10"/>
        <v>2399000</v>
      </c>
      <c r="K7" s="1">
        <f t="shared" si="11"/>
        <v>4950000</v>
      </c>
      <c r="M7" s="2">
        <f t="shared" si="12"/>
        <v>1.2925851703406814</v>
      </c>
      <c r="N7" s="2">
        <f t="shared" si="2"/>
        <v>1.018202502844141</v>
      </c>
      <c r="O7" s="2">
        <f t="shared" si="3"/>
        <v>0.77685238368753595</v>
      </c>
      <c r="P7" s="2">
        <f t="shared" si="4"/>
        <v>0.73815384615384616</v>
      </c>
      <c r="Q7" s="2">
        <f t="shared" si="5"/>
        <v>0.91666666666666663</v>
      </c>
      <c r="R7" s="2"/>
      <c r="S7" t="s">
        <v>16</v>
      </c>
      <c r="T7" s="1">
        <v>450000</v>
      </c>
      <c r="U7" t="s">
        <v>16</v>
      </c>
      <c r="V7" s="1">
        <v>699999</v>
      </c>
      <c r="W7" t="s">
        <v>16</v>
      </c>
      <c r="X7" s="1">
        <v>1302000</v>
      </c>
      <c r="Y7" t="s">
        <v>16</v>
      </c>
      <c r="Z7" s="1">
        <v>2300000</v>
      </c>
      <c r="AA7" t="s">
        <v>18</v>
      </c>
      <c r="AB7" s="1">
        <v>6292500</v>
      </c>
    </row>
    <row r="8" spans="1:28">
      <c r="A8">
        <f t="shared" si="13"/>
        <v>7</v>
      </c>
      <c r="B8" t="s">
        <v>20</v>
      </c>
      <c r="C8" s="2">
        <f t="shared" si="0"/>
        <v>1.0011376564277588</v>
      </c>
      <c r="D8" s="5">
        <f t="shared" si="6"/>
        <v>4.7444979950575696</v>
      </c>
      <c r="E8" s="5">
        <f t="shared" si="7"/>
        <v>137.59044185666951</v>
      </c>
      <c r="G8" s="1">
        <f t="shared" si="1"/>
        <v>565000</v>
      </c>
      <c r="H8" s="1">
        <f t="shared" si="8"/>
        <v>880000</v>
      </c>
      <c r="I8" s="1">
        <f t="shared" si="9"/>
        <v>1895000</v>
      </c>
      <c r="J8" s="1">
        <f t="shared" si="10"/>
        <v>5072500</v>
      </c>
      <c r="K8" s="1">
        <f t="shared" si="11"/>
        <v>5462500</v>
      </c>
      <c r="M8" s="2">
        <f t="shared" si="12"/>
        <v>1.1322645290581161</v>
      </c>
      <c r="N8" s="2">
        <f t="shared" si="2"/>
        <v>1.0011376564277588</v>
      </c>
      <c r="O8" s="2">
        <f t="shared" si="3"/>
        <v>1.0884549109707065</v>
      </c>
      <c r="P8" s="2">
        <f t="shared" si="4"/>
        <v>1.5607692307692307</v>
      </c>
      <c r="Q8" s="2">
        <f t="shared" si="5"/>
        <v>1.0115740740740742</v>
      </c>
      <c r="R8" s="2"/>
      <c r="S8" t="s">
        <v>17</v>
      </c>
      <c r="T8" s="1">
        <v>319500</v>
      </c>
      <c r="U8" t="s">
        <v>17</v>
      </c>
      <c r="V8" s="1">
        <v>499000</v>
      </c>
      <c r="W8" t="s">
        <v>17</v>
      </c>
      <c r="X8" s="1">
        <v>625000</v>
      </c>
      <c r="Y8" t="s">
        <v>17</v>
      </c>
      <c r="Z8" s="1">
        <v>1099000</v>
      </c>
      <c r="AA8" t="s">
        <v>19</v>
      </c>
      <c r="AB8" s="1">
        <v>4950000</v>
      </c>
    </row>
    <row r="9" spans="1:28">
      <c r="A9">
        <f t="shared" si="13"/>
        <v>8</v>
      </c>
      <c r="B9" t="s">
        <v>21</v>
      </c>
      <c r="C9" s="2">
        <f t="shared" si="0"/>
        <v>0.93799772468714449</v>
      </c>
      <c r="D9" s="5">
        <f t="shared" si="6"/>
        <v>5.1975990574089952</v>
      </c>
      <c r="E9" s="5">
        <f t="shared" si="7"/>
        <v>150.73037266486085</v>
      </c>
      <c r="G9" s="1">
        <f t="shared" si="1"/>
        <v>722500</v>
      </c>
      <c r="H9" s="1">
        <f t="shared" si="8"/>
        <v>824500</v>
      </c>
      <c r="I9" s="1">
        <f t="shared" si="9"/>
        <v>1375000</v>
      </c>
      <c r="J9" s="1">
        <f t="shared" si="10"/>
        <v>2239000</v>
      </c>
      <c r="K9" s="1">
        <f t="shared" si="11"/>
        <v>3475000</v>
      </c>
      <c r="M9" s="2">
        <f t="shared" si="12"/>
        <v>1.4478957915831663</v>
      </c>
      <c r="N9" s="2">
        <f t="shared" si="2"/>
        <v>0.93799772468714449</v>
      </c>
      <c r="O9" s="2">
        <f t="shared" si="3"/>
        <v>0.78977599080987937</v>
      </c>
      <c r="P9" s="2">
        <f t="shared" si="4"/>
        <v>0.68892307692307697</v>
      </c>
      <c r="Q9" s="2">
        <f t="shared" si="5"/>
        <v>0.64351851851851849</v>
      </c>
      <c r="R9" s="2"/>
      <c r="S9" t="s">
        <v>18</v>
      </c>
      <c r="T9" s="1">
        <v>567000</v>
      </c>
      <c r="U9" t="s">
        <v>18</v>
      </c>
      <c r="V9" s="1">
        <v>650000</v>
      </c>
      <c r="W9" t="s">
        <v>18</v>
      </c>
      <c r="X9" s="1">
        <v>1070000</v>
      </c>
      <c r="Y9" t="s">
        <v>18</v>
      </c>
      <c r="Z9" s="1">
        <v>2997500</v>
      </c>
      <c r="AA9" t="s">
        <v>20</v>
      </c>
      <c r="AB9" s="1">
        <v>5462500</v>
      </c>
    </row>
    <row r="10" spans="1:28">
      <c r="A10">
        <f t="shared" si="13"/>
        <v>9</v>
      </c>
      <c r="B10" t="s">
        <v>22</v>
      </c>
      <c r="C10" s="2">
        <f t="shared" si="0"/>
        <v>0.73947667804323092</v>
      </c>
      <c r="D10" s="5">
        <f t="shared" si="6"/>
        <v>6.5794115179975385</v>
      </c>
      <c r="E10" s="5">
        <f t="shared" si="7"/>
        <v>190.80293402192862</v>
      </c>
      <c r="G10" s="1">
        <f t="shared" si="1"/>
        <v>425000</v>
      </c>
      <c r="H10" s="1">
        <f t="shared" si="8"/>
        <v>650000</v>
      </c>
      <c r="I10" s="1">
        <f t="shared" si="9"/>
        <v>1350000</v>
      </c>
      <c r="J10" s="1">
        <f t="shared" si="10"/>
        <v>1950000</v>
      </c>
      <c r="K10" s="1">
        <f t="shared" si="11"/>
        <v>8622500</v>
      </c>
      <c r="M10" s="2">
        <f t="shared" si="12"/>
        <v>0.85170340681362722</v>
      </c>
      <c r="N10" s="2">
        <f t="shared" si="2"/>
        <v>0.73947667804323092</v>
      </c>
      <c r="O10" s="2">
        <f t="shared" si="3"/>
        <v>0.77541642734060889</v>
      </c>
      <c r="P10" s="2">
        <f t="shared" si="4"/>
        <v>0.6</v>
      </c>
      <c r="Q10" s="2">
        <f t="shared" si="5"/>
        <v>1.5967592592592592</v>
      </c>
      <c r="R10" s="2"/>
      <c r="S10" t="s">
        <v>19</v>
      </c>
      <c r="T10" s="1">
        <v>645000</v>
      </c>
      <c r="U10" t="s">
        <v>19</v>
      </c>
      <c r="V10" s="1">
        <v>895000</v>
      </c>
      <c r="W10" t="s">
        <v>19</v>
      </c>
      <c r="X10" s="1">
        <v>1352500</v>
      </c>
      <c r="Y10" t="s">
        <v>19</v>
      </c>
      <c r="Z10" s="1">
        <v>2399000</v>
      </c>
      <c r="AA10" t="s">
        <v>21</v>
      </c>
      <c r="AB10" s="1">
        <v>3475000</v>
      </c>
    </row>
    <row r="11" spans="1:28">
      <c r="A11">
        <f t="shared" si="13"/>
        <v>10</v>
      </c>
      <c r="B11" t="s">
        <v>23</v>
      </c>
      <c r="C11" s="2">
        <f t="shared" si="0"/>
        <v>0.85608646188850968</v>
      </c>
      <c r="D11" s="5">
        <f t="shared" si="6"/>
        <v>5.7807664285910567</v>
      </c>
      <c r="E11" s="5">
        <f t="shared" si="7"/>
        <v>167.64222642914063</v>
      </c>
      <c r="G11" s="1">
        <f t="shared" si="1"/>
        <v>492500</v>
      </c>
      <c r="H11" s="1">
        <f t="shared" si="8"/>
        <v>752500</v>
      </c>
      <c r="I11" s="1">
        <f t="shared" si="9"/>
        <v>1675000</v>
      </c>
      <c r="J11" s="1">
        <f t="shared" si="10"/>
        <v>2925000</v>
      </c>
      <c r="K11" s="1">
        <f t="shared" si="11"/>
        <v>5775000</v>
      </c>
      <c r="M11" s="2">
        <f t="shared" si="12"/>
        <v>0.98697394789579163</v>
      </c>
      <c r="N11" s="2">
        <f t="shared" si="2"/>
        <v>0.85608646188850968</v>
      </c>
      <c r="O11" s="2">
        <f t="shared" si="3"/>
        <v>0.96209075244112574</v>
      </c>
      <c r="P11" s="2">
        <f t="shared" si="4"/>
        <v>0.9</v>
      </c>
      <c r="Q11" s="2">
        <f t="shared" si="5"/>
        <v>1.0694444444444444</v>
      </c>
      <c r="R11" s="2"/>
      <c r="S11" t="s">
        <v>20</v>
      </c>
      <c r="T11" s="1">
        <v>565000</v>
      </c>
      <c r="U11" t="s">
        <v>20</v>
      </c>
      <c r="V11" s="1">
        <v>880000</v>
      </c>
      <c r="W11" t="s">
        <v>20</v>
      </c>
      <c r="X11" s="1">
        <v>1895000</v>
      </c>
      <c r="Y11" t="s">
        <v>20</v>
      </c>
      <c r="Z11" s="1">
        <v>5072500</v>
      </c>
      <c r="AA11" t="s">
        <v>22</v>
      </c>
      <c r="AB11" s="1">
        <v>8622500</v>
      </c>
    </row>
    <row r="12" spans="1:28">
      <c r="A12">
        <f t="shared" si="13"/>
        <v>11</v>
      </c>
      <c r="B12" t="s">
        <v>25</v>
      </c>
      <c r="C12" s="2">
        <f t="shared" si="0"/>
        <v>0.44937428896473264</v>
      </c>
      <c r="D12" s="5">
        <f t="shared" si="6"/>
        <v>8.2355002132576374</v>
      </c>
      <c r="E12" s="5">
        <f t="shared" si="7"/>
        <v>238.82950618447148</v>
      </c>
      <c r="G12" s="1">
        <f t="shared" si="1"/>
        <v>357000</v>
      </c>
      <c r="H12" s="1">
        <f t="shared" si="8"/>
        <v>395000</v>
      </c>
      <c r="I12" s="1">
        <f t="shared" si="9"/>
        <v>599550</v>
      </c>
      <c r="J12" s="1">
        <f t="shared" si="10"/>
        <v>834000</v>
      </c>
      <c r="K12" s="1">
        <f t="shared" si="11"/>
        <v>1397500</v>
      </c>
      <c r="M12" s="2">
        <f t="shared" si="12"/>
        <v>0.71543086172344694</v>
      </c>
      <c r="N12" s="2">
        <f t="shared" si="2"/>
        <v>0.44937428896473264</v>
      </c>
      <c r="O12" s="2">
        <f t="shared" si="3"/>
        <v>0.34437105112004596</v>
      </c>
      <c r="P12" s="2">
        <f t="shared" si="4"/>
        <v>0.25661538461538463</v>
      </c>
      <c r="Q12" s="2">
        <f t="shared" si="5"/>
        <v>0.2587962962962963</v>
      </c>
      <c r="R12" s="2"/>
      <c r="S12" t="s">
        <v>21</v>
      </c>
      <c r="T12" s="1">
        <v>722500</v>
      </c>
      <c r="U12" t="s">
        <v>21</v>
      </c>
      <c r="V12" s="1">
        <v>824500</v>
      </c>
      <c r="W12" t="s">
        <v>21</v>
      </c>
      <c r="X12" s="1">
        <v>1375000</v>
      </c>
      <c r="Y12" t="s">
        <v>21</v>
      </c>
      <c r="Z12" s="1">
        <v>2239000</v>
      </c>
      <c r="AA12" t="s">
        <v>23</v>
      </c>
      <c r="AB12" s="1">
        <v>5775000</v>
      </c>
    </row>
    <row r="13" spans="1:28">
      <c r="A13">
        <f t="shared" si="13"/>
        <v>12</v>
      </c>
      <c r="B13" t="s">
        <v>27</v>
      </c>
      <c r="C13" s="2">
        <f t="shared" si="0"/>
        <v>0.32878270762229805</v>
      </c>
      <c r="D13" s="5">
        <f t="shared" si="6"/>
        <v>8.7410669176830709</v>
      </c>
      <c r="E13" s="5">
        <f t="shared" si="7"/>
        <v>253.49094061280906</v>
      </c>
      <c r="G13" s="1">
        <f t="shared" si="1"/>
        <v>199000</v>
      </c>
      <c r="H13" s="1">
        <f t="shared" si="8"/>
        <v>289000</v>
      </c>
      <c r="I13" s="1">
        <f t="shared" si="9"/>
        <v>420000</v>
      </c>
      <c r="J13" s="1">
        <f t="shared" si="10"/>
        <v>600000</v>
      </c>
      <c r="K13" s="1">
        <f t="shared" si="11"/>
        <v>680000</v>
      </c>
      <c r="M13" s="2">
        <f t="shared" si="12"/>
        <v>0.39879759519038077</v>
      </c>
      <c r="N13" s="2">
        <f t="shared" si="2"/>
        <v>0.32878270762229805</v>
      </c>
      <c r="O13" s="2">
        <f t="shared" si="3"/>
        <v>0.24124066628374496</v>
      </c>
      <c r="P13" s="2">
        <f t="shared" si="4"/>
        <v>0.18461538461538463</v>
      </c>
      <c r="Q13" s="2">
        <f t="shared" si="5"/>
        <v>0.12592592592592591</v>
      </c>
      <c r="R13" s="2"/>
      <c r="S13" t="s">
        <v>22</v>
      </c>
      <c r="T13" s="1">
        <v>425000</v>
      </c>
      <c r="U13" t="s">
        <v>22</v>
      </c>
      <c r="V13" s="1">
        <v>650000</v>
      </c>
      <c r="W13" t="s">
        <v>22</v>
      </c>
      <c r="X13" s="1">
        <v>1350000</v>
      </c>
      <c r="Y13" t="s">
        <v>22</v>
      </c>
      <c r="Z13" s="1">
        <v>1950000</v>
      </c>
      <c r="AA13" t="s">
        <v>25</v>
      </c>
      <c r="AB13" s="1">
        <v>1397500</v>
      </c>
    </row>
    <row r="14" spans="1:28">
      <c r="A14">
        <f t="shared" si="13"/>
        <v>13</v>
      </c>
      <c r="B14" t="s">
        <v>28</v>
      </c>
      <c r="C14" s="2">
        <f t="shared" si="0"/>
        <v>0.71899886234357224</v>
      </c>
      <c r="D14" s="5">
        <f t="shared" si="6"/>
        <v>6.713726942078095</v>
      </c>
      <c r="E14" s="5">
        <f t="shared" si="7"/>
        <v>194.69808132026475</v>
      </c>
      <c r="G14" s="1">
        <f t="shared" si="1"/>
        <v>420000</v>
      </c>
      <c r="H14" s="1">
        <f t="shared" si="8"/>
        <v>632000</v>
      </c>
      <c r="I14" s="1">
        <f t="shared" si="9"/>
        <v>1125000</v>
      </c>
      <c r="J14" s="1">
        <f t="shared" si="10"/>
        <v>2235750</v>
      </c>
      <c r="K14" s="1">
        <f t="shared" si="11"/>
        <v>5950000</v>
      </c>
      <c r="M14" s="2">
        <f t="shared" si="12"/>
        <v>0.84168336673346689</v>
      </c>
      <c r="N14" s="2">
        <f t="shared" si="2"/>
        <v>0.71899886234357224</v>
      </c>
      <c r="O14" s="2">
        <f t="shared" si="3"/>
        <v>0.64618035611717406</v>
      </c>
      <c r="P14" s="2">
        <f t="shared" si="4"/>
        <v>0.68792307692307697</v>
      </c>
      <c r="Q14" s="2">
        <f t="shared" si="5"/>
        <v>1.1018518518518519</v>
      </c>
      <c r="R14" s="2"/>
      <c r="S14" t="s">
        <v>23</v>
      </c>
      <c r="T14" s="1">
        <v>492500</v>
      </c>
      <c r="U14" t="s">
        <v>23</v>
      </c>
      <c r="V14" s="1">
        <v>752500</v>
      </c>
      <c r="W14" t="s">
        <v>23</v>
      </c>
      <c r="X14" s="1">
        <v>1675000</v>
      </c>
      <c r="Y14" t="s">
        <v>23</v>
      </c>
      <c r="Z14" s="1">
        <v>2925000</v>
      </c>
      <c r="AA14" t="s">
        <v>55</v>
      </c>
      <c r="AB14" s="1">
        <v>7450000</v>
      </c>
    </row>
    <row r="15" spans="1:28">
      <c r="A15">
        <f t="shared" si="13"/>
        <v>14</v>
      </c>
      <c r="B15" t="s">
        <v>29</v>
      </c>
      <c r="C15" s="2">
        <f t="shared" si="0"/>
        <v>0.55062571103526736</v>
      </c>
      <c r="D15" s="5">
        <f t="shared" si="6"/>
        <v>7.7239154458265702</v>
      </c>
      <c r="E15" s="5">
        <f t="shared" si="7"/>
        <v>223.99354792897054</v>
      </c>
      <c r="G15" s="1">
        <f t="shared" si="1"/>
        <v>329000</v>
      </c>
      <c r="H15" s="1">
        <f t="shared" si="8"/>
        <v>484000</v>
      </c>
      <c r="I15" s="1" t="e">
        <f t="shared" si="9"/>
        <v>#N/A</v>
      </c>
      <c r="J15" s="1" t="e">
        <f t="shared" si="10"/>
        <v>#N/A</v>
      </c>
      <c r="K15" s="1" t="e">
        <f t="shared" si="11"/>
        <v>#N/A</v>
      </c>
      <c r="M15" s="2">
        <f t="shared" si="12"/>
        <v>0.65931863727454909</v>
      </c>
      <c r="N15" s="2">
        <f t="shared" si="2"/>
        <v>0.55062571103526736</v>
      </c>
      <c r="O15" s="2">
        <f>AVERAGE(M15:N15)</f>
        <v>0.60497217415490823</v>
      </c>
      <c r="P15" s="2">
        <f>+O15</f>
        <v>0.60497217415490823</v>
      </c>
      <c r="Q15" s="2">
        <f>+P15</f>
        <v>0.60497217415490823</v>
      </c>
      <c r="R15" s="2"/>
      <c r="S15" t="s">
        <v>24</v>
      </c>
      <c r="T15" s="1">
        <v>220000</v>
      </c>
      <c r="U15" t="s">
        <v>24</v>
      </c>
      <c r="V15" s="1">
        <v>360000</v>
      </c>
      <c r="W15" t="s">
        <v>24</v>
      </c>
      <c r="X15" s="1">
        <v>307500</v>
      </c>
      <c r="Y15" t="s">
        <v>24</v>
      </c>
      <c r="Z15" s="1">
        <v>209500</v>
      </c>
      <c r="AA15" t="s">
        <v>27</v>
      </c>
      <c r="AB15" s="1">
        <v>680000</v>
      </c>
    </row>
    <row r="16" spans="1:28">
      <c r="A16">
        <f t="shared" si="13"/>
        <v>15</v>
      </c>
      <c r="B16" t="s">
        <v>61</v>
      </c>
      <c r="C16" s="2">
        <f t="shared" si="0"/>
        <v>2.5597269624573378</v>
      </c>
      <c r="D16" s="5">
        <f t="shared" si="6"/>
        <v>2.0572382570481551E-2</v>
      </c>
      <c r="E16" s="5">
        <f t="shared" si="7"/>
        <v>0.59659909454396498</v>
      </c>
      <c r="G16" s="1" t="e">
        <f t="shared" si="1"/>
        <v>#N/A</v>
      </c>
      <c r="H16" s="1" t="e">
        <f t="shared" si="8"/>
        <v>#N/A</v>
      </c>
      <c r="I16" s="1" t="e">
        <f t="shared" si="9"/>
        <v>#N/A</v>
      </c>
      <c r="J16" s="1" t="e">
        <f t="shared" si="10"/>
        <v>#N/A</v>
      </c>
      <c r="K16" s="1" t="e">
        <f t="shared" si="11"/>
        <v>#N/A</v>
      </c>
      <c r="M16" s="2">
        <f t="shared" si="12"/>
        <v>1</v>
      </c>
      <c r="N16" s="2">
        <f>+N25</f>
        <v>2.5597269624573378</v>
      </c>
      <c r="O16" s="2">
        <f t="shared" ref="O16:O27" si="14">IF(ISERROR(I16/I$3),1,(I16/I$3))</f>
        <v>1</v>
      </c>
      <c r="P16" s="2">
        <f t="shared" ref="P16:P27" si="15">IF(ISERROR(J16/J$3),1,(J16/J$3))</f>
        <v>1</v>
      </c>
      <c r="Q16" s="2">
        <f t="shared" ref="Q16:Q27" si="16">IF(ISERROR(K16/K$3),1,(K16/K$3))</f>
        <v>1</v>
      </c>
      <c r="R16" s="2"/>
      <c r="S16" t="s">
        <v>25</v>
      </c>
      <c r="T16" s="1">
        <v>357000</v>
      </c>
      <c r="U16" t="s">
        <v>25</v>
      </c>
      <c r="V16" s="1">
        <v>395000</v>
      </c>
      <c r="W16" t="s">
        <v>25</v>
      </c>
      <c r="X16" s="1">
        <v>599550</v>
      </c>
      <c r="Y16" t="s">
        <v>25</v>
      </c>
      <c r="Z16" s="1">
        <v>834000</v>
      </c>
      <c r="AA16" t="s">
        <v>28</v>
      </c>
      <c r="AB16" s="1">
        <v>5950000</v>
      </c>
    </row>
    <row r="17" spans="1:28">
      <c r="A17">
        <f t="shared" si="13"/>
        <v>16</v>
      </c>
      <c r="B17" t="s">
        <v>31</v>
      </c>
      <c r="C17" s="2">
        <f t="shared" si="0"/>
        <v>0.57337883959044367</v>
      </c>
      <c r="D17" s="5">
        <f t="shared" si="6"/>
        <v>7.5984210034936606</v>
      </c>
      <c r="E17" s="5">
        <f t="shared" si="7"/>
        <v>220.35420910131614</v>
      </c>
      <c r="G17" s="1">
        <f t="shared" si="1"/>
        <v>315000</v>
      </c>
      <c r="H17" s="1">
        <f t="shared" si="8"/>
        <v>504000</v>
      </c>
      <c r="I17" s="1">
        <f t="shared" si="9"/>
        <v>665000</v>
      </c>
      <c r="J17" s="1">
        <f t="shared" si="10"/>
        <v>715000</v>
      </c>
      <c r="K17" s="1">
        <f t="shared" si="11"/>
        <v>1300000</v>
      </c>
      <c r="M17" s="2">
        <f t="shared" si="12"/>
        <v>0.63126252505010017</v>
      </c>
      <c r="N17" s="2">
        <f t="shared" si="2"/>
        <v>0.57337883959044367</v>
      </c>
      <c r="O17" s="2">
        <f t="shared" si="14"/>
        <v>0.38196438828259621</v>
      </c>
      <c r="P17" s="2">
        <f t="shared" si="15"/>
        <v>0.22</v>
      </c>
      <c r="Q17" s="2">
        <f t="shared" si="16"/>
        <v>0.24074074074074073</v>
      </c>
      <c r="R17" s="2"/>
      <c r="S17" t="s">
        <v>26</v>
      </c>
      <c r="T17" s="1">
        <v>337500</v>
      </c>
      <c r="U17" t="s">
        <v>26</v>
      </c>
      <c r="V17" s="1">
        <v>575000</v>
      </c>
      <c r="W17" t="s">
        <v>26</v>
      </c>
      <c r="X17" s="1">
        <v>1599000</v>
      </c>
      <c r="Y17" t="s">
        <v>26</v>
      </c>
      <c r="Z17" s="1">
        <v>1499000</v>
      </c>
      <c r="AA17" t="s">
        <v>30</v>
      </c>
      <c r="AB17" s="1">
        <v>4475000</v>
      </c>
    </row>
    <row r="18" spans="1:28">
      <c r="A18">
        <f t="shared" si="13"/>
        <v>17</v>
      </c>
      <c r="B18" t="s">
        <v>33</v>
      </c>
      <c r="C18" s="2">
        <f t="shared" si="0"/>
        <v>1.1365187713310581</v>
      </c>
      <c r="D18" s="5">
        <f t="shared" si="6"/>
        <v>3.7913681165226931</v>
      </c>
      <c r="E18" s="5">
        <f t="shared" si="7"/>
        <v>109.94967537915809</v>
      </c>
      <c r="G18" s="1">
        <f t="shared" si="1"/>
        <v>627750</v>
      </c>
      <c r="H18" s="1">
        <f t="shared" si="8"/>
        <v>999000</v>
      </c>
      <c r="I18" s="1">
        <f t="shared" si="9"/>
        <v>2029000</v>
      </c>
      <c r="J18" s="1">
        <f t="shared" si="10"/>
        <v>5350000</v>
      </c>
      <c r="K18" s="1">
        <f t="shared" si="11"/>
        <v>22500000</v>
      </c>
      <c r="M18" s="2">
        <f t="shared" si="12"/>
        <v>1.2580160320641283</v>
      </c>
      <c r="N18" s="2">
        <f t="shared" si="2"/>
        <v>1.1365187713310581</v>
      </c>
      <c r="O18" s="2">
        <f t="shared" si="14"/>
        <v>1.1654221711659964</v>
      </c>
      <c r="P18" s="2">
        <f t="shared" si="15"/>
        <v>1.6461538461538461</v>
      </c>
      <c r="Q18" s="2">
        <f t="shared" si="16"/>
        <v>4.166666666666667</v>
      </c>
      <c r="R18" s="2"/>
      <c r="S18" t="s">
        <v>27</v>
      </c>
      <c r="T18" s="1">
        <v>199000</v>
      </c>
      <c r="U18" t="s">
        <v>27</v>
      </c>
      <c r="V18" s="1">
        <v>289000</v>
      </c>
      <c r="W18" t="s">
        <v>55</v>
      </c>
      <c r="X18" s="1">
        <v>2272500</v>
      </c>
      <c r="Y18" t="s">
        <v>55</v>
      </c>
      <c r="Z18" s="1">
        <v>3400000</v>
      </c>
      <c r="AA18" t="s">
        <v>31</v>
      </c>
      <c r="AB18" s="1">
        <v>1300000</v>
      </c>
    </row>
    <row r="19" spans="1:28">
      <c r="A19">
        <f t="shared" si="13"/>
        <v>18</v>
      </c>
      <c r="B19" t="s">
        <v>34</v>
      </c>
      <c r="C19" s="2">
        <f t="shared" si="0"/>
        <v>0.71103526734926048</v>
      </c>
      <c r="D19" s="5">
        <f t="shared" si="6"/>
        <v>6.7653803683732816</v>
      </c>
      <c r="E19" s="5">
        <f t="shared" si="7"/>
        <v>196.19603068282515</v>
      </c>
      <c r="G19" s="1">
        <f t="shared" si="1"/>
        <v>375000</v>
      </c>
      <c r="H19" s="1">
        <f t="shared" si="8"/>
        <v>625000</v>
      </c>
      <c r="I19" s="1">
        <f t="shared" si="9"/>
        <v>1297000</v>
      </c>
      <c r="J19" s="1">
        <f t="shared" si="10"/>
        <v>2950000</v>
      </c>
      <c r="K19" s="1">
        <f t="shared" si="11"/>
        <v>4100000</v>
      </c>
      <c r="M19" s="2">
        <f t="shared" si="12"/>
        <v>0.75150300601202402</v>
      </c>
      <c r="N19" s="2">
        <f t="shared" si="2"/>
        <v>0.71103526734926048</v>
      </c>
      <c r="O19" s="2">
        <f t="shared" si="14"/>
        <v>0.74497415278575529</v>
      </c>
      <c r="P19" s="2">
        <f t="shared" si="15"/>
        <v>0.90769230769230769</v>
      </c>
      <c r="Q19" s="2">
        <f t="shared" si="16"/>
        <v>0.7592592592592593</v>
      </c>
      <c r="R19" s="2"/>
      <c r="S19" t="s">
        <v>28</v>
      </c>
      <c r="T19" s="1">
        <v>420000</v>
      </c>
      <c r="U19" t="s">
        <v>28</v>
      </c>
      <c r="V19" s="1">
        <v>632000</v>
      </c>
      <c r="W19" t="s">
        <v>27</v>
      </c>
      <c r="X19" s="1">
        <v>420000</v>
      </c>
      <c r="Y19" t="s">
        <v>27</v>
      </c>
      <c r="Z19" s="1">
        <v>600000</v>
      </c>
      <c r="AA19" t="s">
        <v>32</v>
      </c>
      <c r="AB19" s="1">
        <v>2785000</v>
      </c>
    </row>
    <row r="20" spans="1:28">
      <c r="A20">
        <f t="shared" si="13"/>
        <v>19</v>
      </c>
      <c r="B20" t="s">
        <v>35</v>
      </c>
      <c r="C20" s="2">
        <f t="shared" si="0"/>
        <v>0.8555176336746303</v>
      </c>
      <c r="D20" s="5">
        <f t="shared" si="6"/>
        <v>5.7847718495196885</v>
      </c>
      <c r="E20" s="5">
        <f t="shared" si="7"/>
        <v>167.75838363607096</v>
      </c>
      <c r="G20" s="1">
        <f t="shared" si="1"/>
        <v>409000</v>
      </c>
      <c r="H20" s="1">
        <f t="shared" si="8"/>
        <v>752000</v>
      </c>
      <c r="I20" s="1">
        <f t="shared" si="9"/>
        <v>1799000</v>
      </c>
      <c r="J20" s="1">
        <f t="shared" si="10"/>
        <v>2822500</v>
      </c>
      <c r="K20" s="1">
        <f t="shared" si="11"/>
        <v>3725000</v>
      </c>
      <c r="M20" s="2">
        <f t="shared" si="12"/>
        <v>0.81963927855711427</v>
      </c>
      <c r="N20" s="2">
        <f t="shared" si="2"/>
        <v>0.8555176336746303</v>
      </c>
      <c r="O20" s="2">
        <f t="shared" si="14"/>
        <v>1.0333141872487077</v>
      </c>
      <c r="P20" s="2">
        <f t="shared" si="15"/>
        <v>0.86846153846153851</v>
      </c>
      <c r="Q20" s="2">
        <f t="shared" si="16"/>
        <v>0.68981481481481477</v>
      </c>
      <c r="R20" s="2"/>
      <c r="S20" t="s">
        <v>29</v>
      </c>
      <c r="T20" s="1">
        <v>329000</v>
      </c>
      <c r="U20" t="s">
        <v>29</v>
      </c>
      <c r="V20" s="1">
        <v>484000</v>
      </c>
      <c r="W20" t="s">
        <v>28</v>
      </c>
      <c r="X20" s="1">
        <v>1125000</v>
      </c>
      <c r="Y20" t="s">
        <v>28</v>
      </c>
      <c r="Z20" s="1">
        <v>2235750</v>
      </c>
      <c r="AA20" t="s">
        <v>33</v>
      </c>
      <c r="AB20" s="1">
        <v>22500000</v>
      </c>
    </row>
    <row r="21" spans="1:28">
      <c r="A21">
        <f t="shared" si="13"/>
        <v>20</v>
      </c>
      <c r="B21" t="s">
        <v>36</v>
      </c>
      <c r="C21" s="2">
        <f t="shared" si="0"/>
        <v>0.88054607508532423</v>
      </c>
      <c r="D21" s="5">
        <f t="shared" si="6"/>
        <v>5.6078229277559828</v>
      </c>
      <c r="E21" s="5">
        <f t="shared" si="7"/>
        <v>162.62686490492351</v>
      </c>
      <c r="G21" s="1">
        <f t="shared" si="1"/>
        <v>520000</v>
      </c>
      <c r="H21" s="1">
        <f t="shared" si="8"/>
        <v>774000</v>
      </c>
      <c r="I21" s="1">
        <f t="shared" si="9"/>
        <v>675000</v>
      </c>
      <c r="J21" s="1" t="e">
        <f t="shared" si="10"/>
        <v>#N/A</v>
      </c>
      <c r="K21" s="1" t="e">
        <f t="shared" si="11"/>
        <v>#N/A</v>
      </c>
      <c r="M21" s="2">
        <f t="shared" si="12"/>
        <v>1.0420841683366733</v>
      </c>
      <c r="N21" s="2">
        <f t="shared" si="2"/>
        <v>0.88054607508532423</v>
      </c>
      <c r="O21" s="2">
        <f t="shared" si="14"/>
        <v>0.38770821367030445</v>
      </c>
      <c r="P21" s="2">
        <f t="shared" si="15"/>
        <v>1</v>
      </c>
      <c r="Q21" s="2">
        <f t="shared" si="16"/>
        <v>1</v>
      </c>
      <c r="R21" s="2"/>
      <c r="S21" t="s">
        <v>30</v>
      </c>
      <c r="T21" s="1">
        <v>432500</v>
      </c>
      <c r="U21" t="s">
        <v>30</v>
      </c>
      <c r="V21" s="1">
        <v>775000</v>
      </c>
      <c r="W21" t="s">
        <v>30</v>
      </c>
      <c r="X21" s="1">
        <v>1700000</v>
      </c>
      <c r="Y21" t="s">
        <v>30</v>
      </c>
      <c r="Z21" s="1">
        <v>3395000</v>
      </c>
      <c r="AA21" t="s">
        <v>34</v>
      </c>
      <c r="AB21" s="1">
        <v>4100000</v>
      </c>
    </row>
    <row r="22" spans="1:28">
      <c r="A22">
        <f t="shared" si="13"/>
        <v>21</v>
      </c>
      <c r="B22" t="s">
        <v>37</v>
      </c>
      <c r="C22" s="2">
        <f t="shared" si="0"/>
        <v>0.51080773606370877</v>
      </c>
      <c r="D22" s="5">
        <f t="shared" si="6"/>
        <v>7.9343863112061879</v>
      </c>
      <c r="E22" s="5">
        <f t="shared" si="7"/>
        <v>230.09720302497945</v>
      </c>
      <c r="G22" s="1">
        <f t="shared" si="1"/>
        <v>369000</v>
      </c>
      <c r="H22" s="1">
        <f t="shared" si="8"/>
        <v>449000</v>
      </c>
      <c r="I22" s="1">
        <f t="shared" si="9"/>
        <v>713000</v>
      </c>
      <c r="J22" s="1">
        <f t="shared" si="10"/>
        <v>997500</v>
      </c>
      <c r="K22" s="1">
        <f t="shared" si="11"/>
        <v>2100000</v>
      </c>
      <c r="M22" s="2">
        <f t="shared" si="12"/>
        <v>0.73947895791583163</v>
      </c>
      <c r="N22" s="2">
        <f t="shared" si="2"/>
        <v>0.51080773606370877</v>
      </c>
      <c r="O22" s="2">
        <f t="shared" si="14"/>
        <v>0.40953475014359564</v>
      </c>
      <c r="P22" s="2">
        <f t="shared" si="15"/>
        <v>0.30692307692307691</v>
      </c>
      <c r="Q22" s="2">
        <f t="shared" si="16"/>
        <v>0.3888888888888889</v>
      </c>
      <c r="R22" s="2"/>
      <c r="S22" t="s">
        <v>31</v>
      </c>
      <c r="T22" s="1">
        <v>315000</v>
      </c>
      <c r="U22" t="s">
        <v>31</v>
      </c>
      <c r="V22" s="1">
        <v>504000</v>
      </c>
      <c r="W22" t="s">
        <v>31</v>
      </c>
      <c r="X22" s="1">
        <v>665000</v>
      </c>
      <c r="Y22" t="s">
        <v>31</v>
      </c>
      <c r="Z22" s="1">
        <v>715000</v>
      </c>
      <c r="AA22" t="s">
        <v>35</v>
      </c>
      <c r="AB22" s="1">
        <v>3725000</v>
      </c>
    </row>
    <row r="23" spans="1:28">
      <c r="A23">
        <f t="shared" si="13"/>
        <v>22</v>
      </c>
      <c r="B23" t="s">
        <v>38</v>
      </c>
      <c r="C23" s="2">
        <f t="shared" si="0"/>
        <v>0.67918088737201365</v>
      </c>
      <c r="D23" s="5">
        <f t="shared" si="6"/>
        <v>6.9685325538650522</v>
      </c>
      <c r="E23" s="5">
        <f t="shared" si="7"/>
        <v>202.08744406208652</v>
      </c>
      <c r="G23" s="1">
        <f t="shared" si="1"/>
        <v>344250</v>
      </c>
      <c r="H23" s="1">
        <f t="shared" si="8"/>
        <v>597000</v>
      </c>
      <c r="I23" s="1">
        <f t="shared" si="9"/>
        <v>1037250</v>
      </c>
      <c r="J23" s="1">
        <f t="shared" si="10"/>
        <v>1497000</v>
      </c>
      <c r="K23" s="1">
        <f t="shared" si="11"/>
        <v>3495000</v>
      </c>
      <c r="M23" s="2">
        <f t="shared" si="12"/>
        <v>0.68987975951903813</v>
      </c>
      <c r="N23" s="2">
        <f t="shared" si="2"/>
        <v>0.67918088737201365</v>
      </c>
      <c r="O23" s="2">
        <f t="shared" si="14"/>
        <v>0.59577828834003443</v>
      </c>
      <c r="P23" s="2">
        <f t="shared" si="15"/>
        <v>0.46061538461538459</v>
      </c>
      <c r="Q23" s="2">
        <f t="shared" si="16"/>
        <v>0.64722222222222225</v>
      </c>
      <c r="R23" s="2"/>
      <c r="S23" t="s">
        <v>32</v>
      </c>
      <c r="T23" s="1">
        <v>414000</v>
      </c>
      <c r="U23" t="s">
        <v>32</v>
      </c>
      <c r="V23" s="1">
        <v>559500</v>
      </c>
      <c r="W23" t="s">
        <v>32</v>
      </c>
      <c r="X23" s="1">
        <v>879000</v>
      </c>
      <c r="Y23" t="s">
        <v>32</v>
      </c>
      <c r="Z23" s="1">
        <v>1690000</v>
      </c>
      <c r="AA23" t="s">
        <v>37</v>
      </c>
      <c r="AB23" s="1">
        <v>2100000</v>
      </c>
    </row>
    <row r="24" spans="1:28">
      <c r="A24">
        <f t="shared" si="13"/>
        <v>23</v>
      </c>
      <c r="B24" t="s">
        <v>39</v>
      </c>
      <c r="C24" s="2">
        <f t="shared" si="0"/>
        <v>1.6939704209328783</v>
      </c>
      <c r="D24" s="5">
        <f t="shared" si="6"/>
        <v>0.94919734494277108</v>
      </c>
      <c r="E24" s="5">
        <f t="shared" si="7"/>
        <v>27.526723003340361</v>
      </c>
      <c r="G24" s="1">
        <f t="shared" si="1"/>
        <v>1250000</v>
      </c>
      <c r="H24" s="1">
        <f t="shared" si="8"/>
        <v>1489000</v>
      </c>
      <c r="I24" s="1">
        <f t="shared" si="9"/>
        <v>2922500</v>
      </c>
      <c r="J24" s="1">
        <f t="shared" si="10"/>
        <v>15450000</v>
      </c>
      <c r="K24" s="1" t="e">
        <f t="shared" si="11"/>
        <v>#N/A</v>
      </c>
      <c r="M24" s="2">
        <f t="shared" si="12"/>
        <v>2.5050100200400802</v>
      </c>
      <c r="N24" s="2">
        <f t="shared" si="2"/>
        <v>1.6939704209328783</v>
      </c>
      <c r="O24" s="2">
        <f t="shared" si="14"/>
        <v>1.6786329695577253</v>
      </c>
      <c r="P24" s="2">
        <f t="shared" si="15"/>
        <v>4.7538461538461538</v>
      </c>
      <c r="Q24" s="2">
        <f t="shared" si="16"/>
        <v>1</v>
      </c>
      <c r="R24" s="2"/>
      <c r="S24" t="s">
        <v>33</v>
      </c>
      <c r="T24" s="1">
        <v>627750</v>
      </c>
      <c r="U24" t="s">
        <v>33</v>
      </c>
      <c r="V24" s="1">
        <v>999000</v>
      </c>
      <c r="W24" t="s">
        <v>33</v>
      </c>
      <c r="X24" s="1">
        <v>2029000</v>
      </c>
      <c r="Y24" t="s">
        <v>33</v>
      </c>
      <c r="Z24" s="1">
        <v>5350000</v>
      </c>
      <c r="AA24" t="s">
        <v>38</v>
      </c>
      <c r="AB24" s="1">
        <v>3495000</v>
      </c>
    </row>
    <row r="25" spans="1:28">
      <c r="A25">
        <f t="shared" si="13"/>
        <v>24</v>
      </c>
      <c r="B25" t="s">
        <v>52</v>
      </c>
      <c r="C25" s="2">
        <f t="shared" si="0"/>
        <v>2.5597269624573378</v>
      </c>
      <c r="D25" s="5">
        <f t="shared" si="6"/>
        <v>2.0572382570481551E-2</v>
      </c>
      <c r="E25" s="5">
        <f t="shared" si="7"/>
        <v>0.59659909454396498</v>
      </c>
      <c r="G25" s="1" t="e">
        <f t="shared" si="1"/>
        <v>#N/A</v>
      </c>
      <c r="H25" s="1">
        <f t="shared" si="8"/>
        <v>2250000</v>
      </c>
      <c r="I25" s="1">
        <f t="shared" si="9"/>
        <v>2495000</v>
      </c>
      <c r="J25" s="1">
        <f t="shared" si="10"/>
        <v>3025000</v>
      </c>
      <c r="K25" s="1">
        <f t="shared" si="11"/>
        <v>12500000</v>
      </c>
      <c r="M25" s="2">
        <f t="shared" si="12"/>
        <v>1</v>
      </c>
      <c r="N25" s="2">
        <f t="shared" si="2"/>
        <v>2.5597269624573378</v>
      </c>
      <c r="O25" s="2">
        <f t="shared" si="14"/>
        <v>1.4330844342331992</v>
      </c>
      <c r="P25" s="2">
        <f t="shared" si="15"/>
        <v>0.93076923076923079</v>
      </c>
      <c r="Q25" s="2">
        <f t="shared" si="16"/>
        <v>2.3148148148148149</v>
      </c>
      <c r="R25" s="2"/>
      <c r="S25" t="s">
        <v>34</v>
      </c>
      <c r="T25" s="1">
        <v>375000</v>
      </c>
      <c r="U25" t="s">
        <v>34</v>
      </c>
      <c r="V25" s="1">
        <v>625000</v>
      </c>
      <c r="W25" t="s">
        <v>34</v>
      </c>
      <c r="X25" s="1">
        <v>1297000</v>
      </c>
      <c r="Y25" t="s">
        <v>34</v>
      </c>
      <c r="Z25" s="1">
        <v>2950000</v>
      </c>
      <c r="AA25" t="s">
        <v>52</v>
      </c>
      <c r="AB25" s="1">
        <v>12500000</v>
      </c>
    </row>
    <row r="26" spans="1:28">
      <c r="A26">
        <f t="shared" si="13"/>
        <v>25</v>
      </c>
      <c r="B26" t="s">
        <v>40</v>
      </c>
      <c r="C26" s="2">
        <f t="shared" si="0"/>
        <v>0.64277588168373156</v>
      </c>
      <c r="D26" s="5">
        <f t="shared" si="6"/>
        <v>7.1934385953586331</v>
      </c>
      <c r="E26" s="5">
        <f t="shared" si="7"/>
        <v>208.60971926540037</v>
      </c>
      <c r="G26" s="1">
        <f t="shared" si="1"/>
        <v>435000</v>
      </c>
      <c r="H26" s="1">
        <f t="shared" si="8"/>
        <v>565000</v>
      </c>
      <c r="I26" s="1">
        <f t="shared" si="9"/>
        <v>822500</v>
      </c>
      <c r="J26" s="1">
        <f t="shared" si="10"/>
        <v>1335000</v>
      </c>
      <c r="K26" s="1" t="e">
        <f t="shared" si="11"/>
        <v>#N/A</v>
      </c>
      <c r="M26" s="2">
        <f t="shared" si="12"/>
        <v>0.87174348697394788</v>
      </c>
      <c r="N26" s="2">
        <f t="shared" si="2"/>
        <v>0.64277588168373156</v>
      </c>
      <c r="O26" s="2">
        <f t="shared" si="14"/>
        <v>0.47242963813900057</v>
      </c>
      <c r="P26" s="2">
        <f t="shared" si="15"/>
        <v>0.41076923076923078</v>
      </c>
      <c r="Q26" s="2">
        <f t="shared" si="16"/>
        <v>1</v>
      </c>
      <c r="R26" s="2"/>
      <c r="S26" t="s">
        <v>35</v>
      </c>
      <c r="T26" s="1">
        <v>409000</v>
      </c>
      <c r="U26" t="s">
        <v>35</v>
      </c>
      <c r="V26" s="1">
        <v>752000</v>
      </c>
      <c r="W26" t="s">
        <v>35</v>
      </c>
      <c r="X26" s="1">
        <v>1799000</v>
      </c>
      <c r="Y26" t="s">
        <v>35</v>
      </c>
      <c r="Z26" s="1">
        <v>2822500</v>
      </c>
      <c r="AA26" t="s">
        <v>41</v>
      </c>
      <c r="AB26" s="1">
        <v>8485000</v>
      </c>
    </row>
    <row r="27" spans="1:28">
      <c r="A27">
        <f t="shared" si="13"/>
        <v>26</v>
      </c>
      <c r="B27" t="s">
        <v>41</v>
      </c>
      <c r="C27" s="2">
        <f t="shared" si="0"/>
        <v>2.1899886234357222</v>
      </c>
      <c r="D27" s="5">
        <f t="shared" si="6"/>
        <v>0.13769511564624892</v>
      </c>
      <c r="E27" s="5">
        <f t="shared" si="7"/>
        <v>3.9931583537412187</v>
      </c>
      <c r="G27" s="1">
        <f t="shared" si="1"/>
        <v>1295000</v>
      </c>
      <c r="H27" s="1">
        <f t="shared" si="8"/>
        <v>1925000</v>
      </c>
      <c r="I27" s="1">
        <f t="shared" si="9"/>
        <v>2547500</v>
      </c>
      <c r="J27" s="1">
        <f t="shared" si="10"/>
        <v>4247500</v>
      </c>
      <c r="K27" s="1">
        <f t="shared" si="11"/>
        <v>8485000</v>
      </c>
      <c r="M27" s="2">
        <f t="shared" si="12"/>
        <v>2.5951903807615229</v>
      </c>
      <c r="N27" s="2">
        <f t="shared" si="2"/>
        <v>2.1899886234357222</v>
      </c>
      <c r="O27" s="2">
        <f t="shared" si="14"/>
        <v>1.4632395175186674</v>
      </c>
      <c r="P27" s="2">
        <f t="shared" si="15"/>
        <v>1.3069230769230769</v>
      </c>
      <c r="Q27" s="2">
        <f t="shared" si="16"/>
        <v>1.5712962962962962</v>
      </c>
      <c r="R27" s="2"/>
      <c r="S27" t="s">
        <v>36</v>
      </c>
      <c r="T27" s="1">
        <v>520000</v>
      </c>
      <c r="U27" t="s">
        <v>36</v>
      </c>
      <c r="V27" s="1">
        <v>774000</v>
      </c>
      <c r="W27" t="s">
        <v>36</v>
      </c>
      <c r="X27" s="1">
        <v>675000</v>
      </c>
      <c r="Y27" t="s">
        <v>37</v>
      </c>
      <c r="Z27" s="1">
        <v>997500</v>
      </c>
      <c r="AA27" t="s">
        <v>54</v>
      </c>
      <c r="AB27" s="1">
        <v>1145000</v>
      </c>
    </row>
    <row r="28" spans="1:28">
      <c r="A28">
        <f t="shared" si="13"/>
        <v>27</v>
      </c>
      <c r="B28" t="s">
        <v>53</v>
      </c>
      <c r="C28" s="2">
        <f t="shared" si="0"/>
        <v>0.34129692832764508</v>
      </c>
      <c r="D28" s="5">
        <f t="shared" si="6"/>
        <v>8.6938685716765498</v>
      </c>
      <c r="E28" s="5">
        <f t="shared" si="7"/>
        <v>252.12218857861996</v>
      </c>
      <c r="G28" s="1" t="e">
        <f t="shared" si="1"/>
        <v>#N/A</v>
      </c>
      <c r="H28" s="1">
        <f t="shared" si="8"/>
        <v>300000</v>
      </c>
      <c r="I28" s="1" t="e">
        <f t="shared" si="9"/>
        <v>#N/A</v>
      </c>
      <c r="J28" s="1" t="e">
        <f t="shared" si="10"/>
        <v>#N/A</v>
      </c>
      <c r="K28" s="1" t="e">
        <f t="shared" si="11"/>
        <v>#N/A</v>
      </c>
      <c r="M28" s="2">
        <f>+N28</f>
        <v>0.34129692832764508</v>
      </c>
      <c r="N28" s="2">
        <f t="shared" si="2"/>
        <v>0.34129692832764508</v>
      </c>
      <c r="O28" s="2">
        <f>+N28</f>
        <v>0.34129692832764508</v>
      </c>
      <c r="P28" s="2">
        <f>+O28</f>
        <v>0.34129692832764508</v>
      </c>
      <c r="Q28" s="2">
        <f>+P28</f>
        <v>0.34129692832764508</v>
      </c>
      <c r="R28" s="2"/>
      <c r="S28" t="s">
        <v>37</v>
      </c>
      <c r="T28" s="1">
        <v>369000</v>
      </c>
      <c r="U28" t="s">
        <v>37</v>
      </c>
      <c r="V28" s="1">
        <v>449000</v>
      </c>
      <c r="W28" t="s">
        <v>37</v>
      </c>
      <c r="X28" s="1">
        <v>713000</v>
      </c>
      <c r="Y28" t="s">
        <v>38</v>
      </c>
      <c r="Z28" s="1">
        <v>1497000</v>
      </c>
      <c r="AA28" t="s">
        <v>42</v>
      </c>
      <c r="AB28" s="1">
        <v>4922500</v>
      </c>
    </row>
    <row r="29" spans="1:28">
      <c r="A29">
        <f t="shared" si="13"/>
        <v>28</v>
      </c>
      <c r="B29" t="s">
        <v>42</v>
      </c>
      <c r="C29" s="2">
        <f t="shared" si="0"/>
        <v>0.89306029579067125</v>
      </c>
      <c r="D29" s="5">
        <f t="shared" si="6"/>
        <v>5.518867727230945</v>
      </c>
      <c r="E29" s="5">
        <f t="shared" si="7"/>
        <v>160.04716408969742</v>
      </c>
      <c r="G29" s="1">
        <f t="shared" si="1"/>
        <v>380000</v>
      </c>
      <c r="H29" s="1">
        <f t="shared" si="8"/>
        <v>785000</v>
      </c>
      <c r="I29" s="1">
        <f t="shared" si="9"/>
        <v>1350000</v>
      </c>
      <c r="J29" s="1">
        <f t="shared" si="10"/>
        <v>3225000</v>
      </c>
      <c r="K29" s="1">
        <f t="shared" si="11"/>
        <v>4922500</v>
      </c>
      <c r="M29" s="2">
        <f t="shared" si="12"/>
        <v>0.76152304609218435</v>
      </c>
      <c r="N29" s="2">
        <f t="shared" si="2"/>
        <v>0.89306029579067125</v>
      </c>
      <c r="O29" s="2">
        <f t="shared" ref="O29:O36" si="17">IF(ISERROR(I29/I$3),1,(I29/I$3))</f>
        <v>0.77541642734060889</v>
      </c>
      <c r="P29" s="2">
        <f t="shared" ref="P29:P36" si="18">IF(ISERROR(J29/J$3),1,(J29/J$3))</f>
        <v>0.99230769230769234</v>
      </c>
      <c r="Q29" s="2">
        <f t="shared" ref="Q29:Q36" si="19">IF(ISERROR(K29/K$3),1,(K29/K$3))</f>
        <v>0.91157407407407409</v>
      </c>
      <c r="R29" s="2"/>
      <c r="S29" t="s">
        <v>38</v>
      </c>
      <c r="T29" s="1">
        <v>344250</v>
      </c>
      <c r="U29" t="s">
        <v>38</v>
      </c>
      <c r="V29" s="1">
        <v>597000</v>
      </c>
      <c r="W29" t="s">
        <v>38</v>
      </c>
      <c r="X29" s="1">
        <v>1037250</v>
      </c>
      <c r="Y29" t="s">
        <v>39</v>
      </c>
      <c r="Z29" s="1">
        <v>15450000</v>
      </c>
      <c r="AA29" t="s">
        <v>43</v>
      </c>
      <c r="AB29" s="1">
        <v>2500000</v>
      </c>
    </row>
    <row r="30" spans="1:28">
      <c r="A30">
        <f t="shared" si="13"/>
        <v>29</v>
      </c>
      <c r="B30" t="s">
        <v>43</v>
      </c>
      <c r="C30" s="2">
        <f t="shared" si="0"/>
        <v>1.3651877133105803</v>
      </c>
      <c r="D30" s="5">
        <f t="shared" si="6"/>
        <v>2.359753861189211</v>
      </c>
      <c r="E30" s="5">
        <f t="shared" si="7"/>
        <v>68.432861974487125</v>
      </c>
      <c r="G30" s="1">
        <f t="shared" si="1"/>
        <v>700000</v>
      </c>
      <c r="H30" s="1">
        <f t="shared" si="8"/>
        <v>1200000</v>
      </c>
      <c r="I30" s="1">
        <f t="shared" si="9"/>
        <v>2000000</v>
      </c>
      <c r="J30" s="1">
        <f t="shared" si="10"/>
        <v>4500000</v>
      </c>
      <c r="K30" s="1">
        <f t="shared" si="11"/>
        <v>2500000</v>
      </c>
      <c r="M30" s="2">
        <f t="shared" si="12"/>
        <v>1.402805611222445</v>
      </c>
      <c r="N30" s="2">
        <f t="shared" si="2"/>
        <v>1.3651877133105803</v>
      </c>
      <c r="O30" s="2">
        <f t="shared" si="17"/>
        <v>1.1487650775416427</v>
      </c>
      <c r="P30" s="2">
        <f t="shared" si="18"/>
        <v>1.3846153846153846</v>
      </c>
      <c r="Q30" s="2">
        <f t="shared" si="19"/>
        <v>0.46296296296296297</v>
      </c>
      <c r="R30" s="2"/>
      <c r="S30" t="s">
        <v>39</v>
      </c>
      <c r="T30" s="1">
        <v>1250000</v>
      </c>
      <c r="U30" t="s">
        <v>39</v>
      </c>
      <c r="V30" s="1">
        <v>1489000</v>
      </c>
      <c r="W30" t="s">
        <v>39</v>
      </c>
      <c r="X30" s="1">
        <v>2922500</v>
      </c>
      <c r="Y30" t="s">
        <v>52</v>
      </c>
      <c r="Z30" s="1">
        <v>3025000</v>
      </c>
      <c r="AA30" t="s">
        <v>44</v>
      </c>
      <c r="AB30" s="1">
        <v>7125000</v>
      </c>
    </row>
    <row r="31" spans="1:28">
      <c r="A31">
        <f t="shared" si="13"/>
        <v>30</v>
      </c>
      <c r="B31" t="s">
        <v>44</v>
      </c>
      <c r="C31" s="2">
        <f t="shared" si="0"/>
        <v>1.5358361774744027</v>
      </c>
      <c r="D31" s="5">
        <f t="shared" si="6"/>
        <v>1.52341411520481</v>
      </c>
      <c r="E31" s="5">
        <f t="shared" si="7"/>
        <v>44.179009340939487</v>
      </c>
      <c r="G31" s="1">
        <f t="shared" si="1"/>
        <v>1725000</v>
      </c>
      <c r="H31" s="1">
        <f t="shared" si="8"/>
        <v>1350000</v>
      </c>
      <c r="I31" s="1">
        <f t="shared" si="9"/>
        <v>2022500</v>
      </c>
      <c r="J31" s="1">
        <f t="shared" si="10"/>
        <v>3697500</v>
      </c>
      <c r="K31" s="1">
        <f t="shared" si="11"/>
        <v>7125000</v>
      </c>
      <c r="M31" s="2">
        <f t="shared" si="12"/>
        <v>3.4569138276553106</v>
      </c>
      <c r="N31" s="2">
        <f t="shared" si="2"/>
        <v>1.5358361774744027</v>
      </c>
      <c r="O31" s="2">
        <f t="shared" si="17"/>
        <v>1.1616886846639862</v>
      </c>
      <c r="P31" s="2">
        <f t="shared" si="18"/>
        <v>1.1376923076923078</v>
      </c>
      <c r="Q31" s="2">
        <f t="shared" si="19"/>
        <v>1.3194444444444444</v>
      </c>
      <c r="R31" s="2"/>
      <c r="S31" t="s">
        <v>40</v>
      </c>
      <c r="T31" s="1">
        <v>435000</v>
      </c>
      <c r="U31" t="s">
        <v>52</v>
      </c>
      <c r="V31" s="1">
        <v>2250000</v>
      </c>
      <c r="W31" t="s">
        <v>52</v>
      </c>
      <c r="X31" s="1">
        <v>2495000</v>
      </c>
      <c r="Y31" t="s">
        <v>40</v>
      </c>
      <c r="Z31" s="1">
        <v>1335000</v>
      </c>
      <c r="AA31" t="s">
        <v>46</v>
      </c>
      <c r="AB31" s="1">
        <v>10750000</v>
      </c>
    </row>
    <row r="32" spans="1:28">
      <c r="A32">
        <f t="shared" si="13"/>
        <v>31</v>
      </c>
      <c r="B32" t="s">
        <v>46</v>
      </c>
      <c r="C32" s="2">
        <f t="shared" si="0"/>
        <v>1.2912400455062572</v>
      </c>
      <c r="D32" s="5">
        <f t="shared" si="6"/>
        <v>2.7886481875160545</v>
      </c>
      <c r="E32" s="5">
        <f t="shared" si="7"/>
        <v>80.870797437965578</v>
      </c>
      <c r="G32" s="1">
        <f t="shared" si="1"/>
        <v>575000</v>
      </c>
      <c r="H32" s="1">
        <f t="shared" si="8"/>
        <v>1135000</v>
      </c>
      <c r="I32" s="1" t="e">
        <f t="shared" si="9"/>
        <v>#N/A</v>
      </c>
      <c r="J32" s="1">
        <f t="shared" si="10"/>
        <v>5200000</v>
      </c>
      <c r="K32" s="1">
        <f t="shared" si="11"/>
        <v>10750000</v>
      </c>
      <c r="M32" s="2">
        <f t="shared" si="12"/>
        <v>1.1523046092184368</v>
      </c>
      <c r="N32" s="2">
        <f t="shared" si="2"/>
        <v>1.2912400455062572</v>
      </c>
      <c r="O32" s="2">
        <f t="shared" si="17"/>
        <v>1</v>
      </c>
      <c r="P32" s="2">
        <f t="shared" si="18"/>
        <v>1.6</v>
      </c>
      <c r="Q32" s="2">
        <f t="shared" si="19"/>
        <v>1.9907407407407407</v>
      </c>
      <c r="R32" s="2"/>
      <c r="S32" t="s">
        <v>41</v>
      </c>
      <c r="T32" s="1">
        <v>1295000</v>
      </c>
      <c r="U32" t="s">
        <v>40</v>
      </c>
      <c r="V32" s="1">
        <v>565000</v>
      </c>
      <c r="W32" t="s">
        <v>40</v>
      </c>
      <c r="X32" s="1">
        <v>822500</v>
      </c>
      <c r="Y32" t="s">
        <v>41</v>
      </c>
      <c r="Z32" s="1">
        <v>4247500</v>
      </c>
      <c r="AA32" t="s">
        <v>47</v>
      </c>
      <c r="AB32" s="1">
        <v>4869000</v>
      </c>
    </row>
    <row r="33" spans="1:28">
      <c r="A33">
        <f t="shared" si="13"/>
        <v>32</v>
      </c>
      <c r="B33" t="s">
        <v>47</v>
      </c>
      <c r="C33" s="2">
        <f t="shared" si="0"/>
        <v>0.73833902161547216</v>
      </c>
      <c r="D33" s="5">
        <f t="shared" si="6"/>
        <v>6.5869281308485226</v>
      </c>
      <c r="E33" s="5">
        <f t="shared" si="7"/>
        <v>191.02091579460716</v>
      </c>
      <c r="G33" s="1">
        <f t="shared" si="1"/>
        <v>395000</v>
      </c>
      <c r="H33" s="1">
        <f t="shared" si="8"/>
        <v>649000</v>
      </c>
      <c r="I33" s="1">
        <f t="shared" si="9"/>
        <v>1329000</v>
      </c>
      <c r="J33" s="1">
        <f t="shared" si="10"/>
        <v>2749500</v>
      </c>
      <c r="K33" s="1">
        <f t="shared" si="11"/>
        <v>4869000</v>
      </c>
      <c r="M33" s="2">
        <f t="shared" si="12"/>
        <v>0.79158316633266534</v>
      </c>
      <c r="N33" s="2">
        <f t="shared" si="2"/>
        <v>0.73833902161547216</v>
      </c>
      <c r="O33" s="2">
        <f t="shared" si="17"/>
        <v>0.76335439402642158</v>
      </c>
      <c r="P33" s="2">
        <f t="shared" si="18"/>
        <v>0.84599999999999997</v>
      </c>
      <c r="Q33" s="2">
        <f t="shared" si="19"/>
        <v>0.90166666666666662</v>
      </c>
      <c r="R33" s="2"/>
      <c r="S33" t="s">
        <v>42</v>
      </c>
      <c r="T33" s="1">
        <v>380000</v>
      </c>
      <c r="U33" t="s">
        <v>41</v>
      </c>
      <c r="V33" s="1">
        <v>1925000</v>
      </c>
      <c r="W33" t="s">
        <v>41</v>
      </c>
      <c r="X33" s="1">
        <v>2547500</v>
      </c>
      <c r="Y33" t="s">
        <v>54</v>
      </c>
      <c r="Z33" s="1">
        <v>624000</v>
      </c>
      <c r="AA33" t="s">
        <v>62</v>
      </c>
      <c r="AB33" s="1">
        <v>3495000</v>
      </c>
    </row>
    <row r="34" spans="1:28">
      <c r="A34">
        <f t="shared" si="13"/>
        <v>33</v>
      </c>
      <c r="B34" t="s">
        <v>62</v>
      </c>
      <c r="C34" s="2">
        <f t="shared" si="0"/>
        <v>1</v>
      </c>
      <c r="D34" s="5">
        <f t="shared" si="6"/>
        <v>4.7526503575857966</v>
      </c>
      <c r="E34" s="5">
        <f t="shared" si="7"/>
        <v>137.82686036998811</v>
      </c>
      <c r="G34" s="1">
        <f t="shared" si="1"/>
        <v>373000</v>
      </c>
      <c r="H34" s="1" t="e">
        <f t="shared" si="8"/>
        <v>#N/A</v>
      </c>
      <c r="I34" s="1">
        <f t="shared" si="9"/>
        <v>1195000</v>
      </c>
      <c r="J34" s="1">
        <f t="shared" si="10"/>
        <v>2195000</v>
      </c>
      <c r="K34" s="1">
        <f t="shared" si="11"/>
        <v>3495000</v>
      </c>
      <c r="M34" s="2">
        <f t="shared" si="12"/>
        <v>0.74749498997995989</v>
      </c>
      <c r="N34" s="2">
        <f t="shared" si="2"/>
        <v>1</v>
      </c>
      <c r="O34" s="2">
        <f t="shared" si="17"/>
        <v>0.68638713383113148</v>
      </c>
      <c r="P34" s="2">
        <f t="shared" si="18"/>
        <v>0.67538461538461536</v>
      </c>
      <c r="Q34" s="2">
        <f t="shared" si="19"/>
        <v>0.64722222222222225</v>
      </c>
      <c r="R34" s="2"/>
      <c r="S34" t="s">
        <v>43</v>
      </c>
      <c r="T34" s="1">
        <v>700000</v>
      </c>
      <c r="U34" t="s">
        <v>53</v>
      </c>
      <c r="V34" s="1">
        <v>300000</v>
      </c>
      <c r="W34" t="s">
        <v>54</v>
      </c>
      <c r="X34" s="1">
        <v>452500</v>
      </c>
      <c r="Y34" t="s">
        <v>42</v>
      </c>
      <c r="Z34" s="1">
        <v>3225000</v>
      </c>
      <c r="AA34" t="s">
        <v>48</v>
      </c>
      <c r="AB34" s="1">
        <v>1249000</v>
      </c>
    </row>
    <row r="35" spans="1:28">
      <c r="A35">
        <f t="shared" si="13"/>
        <v>34</v>
      </c>
      <c r="B35" t="s">
        <v>48</v>
      </c>
      <c r="C35" s="2">
        <f t="shared" si="0"/>
        <v>0.363481228668942</v>
      </c>
      <c r="D35" s="5">
        <f t="shared" si="6"/>
        <v>8.6072224605845236</v>
      </c>
      <c r="E35" s="5">
        <f t="shared" si="7"/>
        <v>249.60945135695118</v>
      </c>
      <c r="G35" s="1">
        <f t="shared" si="1"/>
        <v>210000</v>
      </c>
      <c r="H35" s="1">
        <f t="shared" si="8"/>
        <v>319500</v>
      </c>
      <c r="I35" s="1">
        <f t="shared" si="9"/>
        <v>524500</v>
      </c>
      <c r="J35" s="1">
        <f t="shared" si="10"/>
        <v>649000</v>
      </c>
      <c r="K35" s="1">
        <f t="shared" si="11"/>
        <v>1249000</v>
      </c>
      <c r="M35" s="2">
        <f t="shared" si="12"/>
        <v>0.42084168336673344</v>
      </c>
      <c r="N35" s="2">
        <f t="shared" si="2"/>
        <v>0.363481228668942</v>
      </c>
      <c r="O35" s="2">
        <f t="shared" si="17"/>
        <v>0.30126364158529578</v>
      </c>
      <c r="P35" s="2">
        <f t="shared" si="18"/>
        <v>0.1996923076923077</v>
      </c>
      <c r="Q35" s="2">
        <f t="shared" si="19"/>
        <v>0.23129629629629631</v>
      </c>
      <c r="R35" s="2"/>
      <c r="S35" t="s">
        <v>44</v>
      </c>
      <c r="T35" s="1">
        <v>1725000</v>
      </c>
      <c r="U35" t="s">
        <v>54</v>
      </c>
      <c r="V35" s="1">
        <v>320500</v>
      </c>
      <c r="W35" t="s">
        <v>42</v>
      </c>
      <c r="X35" s="1">
        <v>1350000</v>
      </c>
      <c r="Y35" t="s">
        <v>43</v>
      </c>
      <c r="Z35" s="1">
        <v>4500000</v>
      </c>
      <c r="AA35" t="s">
        <v>49</v>
      </c>
      <c r="AB35" s="1">
        <v>9222500</v>
      </c>
    </row>
    <row r="36" spans="1:28">
      <c r="A36">
        <f t="shared" si="13"/>
        <v>35</v>
      </c>
      <c r="B36" t="s">
        <v>49</v>
      </c>
      <c r="C36" s="2">
        <f t="shared" si="0"/>
        <v>0.93287827076222984</v>
      </c>
      <c r="D36" s="5">
        <f t="shared" si="6"/>
        <v>5.2343037223103845</v>
      </c>
      <c r="E36" s="5">
        <f t="shared" si="7"/>
        <v>151.79480794700115</v>
      </c>
      <c r="G36" s="1">
        <f t="shared" si="1"/>
        <v>450000</v>
      </c>
      <c r="H36" s="1">
        <f t="shared" si="8"/>
        <v>820000</v>
      </c>
      <c r="I36" s="1">
        <f t="shared" si="9"/>
        <v>1522000</v>
      </c>
      <c r="J36" s="1">
        <f t="shared" si="10"/>
        <v>4897500</v>
      </c>
      <c r="K36" s="1">
        <f t="shared" si="11"/>
        <v>9222500</v>
      </c>
      <c r="M36" s="2">
        <f t="shared" si="12"/>
        <v>0.90180360721442887</v>
      </c>
      <c r="N36" s="2">
        <f t="shared" si="2"/>
        <v>0.93287827076222984</v>
      </c>
      <c r="O36" s="2">
        <f t="shared" si="17"/>
        <v>0.87421022400919013</v>
      </c>
      <c r="P36" s="2">
        <f t="shared" si="18"/>
        <v>1.506923076923077</v>
      </c>
      <c r="Q36" s="2">
        <f t="shared" si="19"/>
        <v>1.7078703703703704</v>
      </c>
      <c r="R36" s="2"/>
      <c r="S36" t="s">
        <v>45</v>
      </c>
      <c r="T36" s="1">
        <v>285000</v>
      </c>
      <c r="U36" t="s">
        <v>42</v>
      </c>
      <c r="V36" s="1">
        <v>785000</v>
      </c>
      <c r="W36" t="s">
        <v>43</v>
      </c>
      <c r="X36" s="1">
        <v>2000000</v>
      </c>
      <c r="Y36" t="s">
        <v>44</v>
      </c>
      <c r="Z36" s="1">
        <v>3697500</v>
      </c>
      <c r="AA36" t="s">
        <v>50</v>
      </c>
      <c r="AB36" s="1">
        <v>5290971</v>
      </c>
    </row>
    <row r="37" spans="1:28">
      <c r="S37" t="s">
        <v>46</v>
      </c>
      <c r="T37" s="1">
        <v>575000</v>
      </c>
      <c r="U37" t="s">
        <v>43</v>
      </c>
      <c r="V37" s="1">
        <v>1200000</v>
      </c>
      <c r="W37" t="s">
        <v>44</v>
      </c>
      <c r="X37" s="1">
        <v>2022500</v>
      </c>
      <c r="Y37" t="s">
        <v>45</v>
      </c>
      <c r="Z37" s="1">
        <v>1495000</v>
      </c>
    </row>
    <row r="38" spans="1:28">
      <c r="A38">
        <f>OBJ!C2</f>
        <v>5</v>
      </c>
      <c r="B38" t="str">
        <f>OBJ!B2</f>
        <v>East Village</v>
      </c>
      <c r="C38" s="2">
        <f>VLOOKUP($B$38,$B$2:$E$36,COLUMN(B37),FALSE)</f>
        <v>0.73947667804323092</v>
      </c>
      <c r="D38" s="5">
        <f>VLOOKUP($B$38,$B$2:$E$36,COLUMN(C37),FALSE)</f>
        <v>6.5794115179975385</v>
      </c>
      <c r="E38" s="56">
        <f>VLOOKUP($B$38,$B$2:$E$36,COLUMN(D37),FALSE)</f>
        <v>190.80293402192862</v>
      </c>
      <c r="S38" t="s">
        <v>47</v>
      </c>
      <c r="T38" s="1">
        <v>395000</v>
      </c>
      <c r="U38" t="s">
        <v>44</v>
      </c>
      <c r="V38" s="1">
        <v>1350000</v>
      </c>
      <c r="W38" t="s">
        <v>45</v>
      </c>
      <c r="X38" s="1">
        <v>999000</v>
      </c>
      <c r="Y38" t="s">
        <v>46</v>
      </c>
      <c r="Z38" s="1">
        <v>5200000</v>
      </c>
    </row>
    <row r="39" spans="1:28">
      <c r="S39" t="s">
        <v>62</v>
      </c>
      <c r="T39" s="1">
        <v>373000</v>
      </c>
      <c r="U39" t="s">
        <v>45</v>
      </c>
      <c r="V39" s="1">
        <v>640000</v>
      </c>
      <c r="W39" t="s">
        <v>47</v>
      </c>
      <c r="X39" s="1">
        <v>1329000</v>
      </c>
      <c r="Y39" t="s">
        <v>47</v>
      </c>
      <c r="Z39" s="1">
        <v>2749500</v>
      </c>
    </row>
    <row r="40" spans="1:28">
      <c r="C40" s="2">
        <f>AVERAGE(C2:C36)</f>
        <v>0.9655290102389078</v>
      </c>
      <c r="S40" t="s">
        <v>48</v>
      </c>
      <c r="T40" s="1">
        <v>210000</v>
      </c>
      <c r="U40" t="s">
        <v>46</v>
      </c>
      <c r="V40" s="1">
        <v>1135000</v>
      </c>
      <c r="W40" t="s">
        <v>62</v>
      </c>
      <c r="X40" s="1">
        <v>1195000</v>
      </c>
      <c r="Y40" t="s">
        <v>62</v>
      </c>
      <c r="Z40" s="1">
        <v>2195000</v>
      </c>
    </row>
    <row r="41" spans="1:28">
      <c r="C41" s="2">
        <f>STDEV(C2:C36)</f>
        <v>0.55561504427215047</v>
      </c>
      <c r="S41" t="s">
        <v>49</v>
      </c>
      <c r="T41" s="1">
        <v>450000</v>
      </c>
      <c r="U41" t="s">
        <v>47</v>
      </c>
      <c r="V41" s="1">
        <v>649000</v>
      </c>
      <c r="W41" t="s">
        <v>48</v>
      </c>
      <c r="X41" s="1">
        <v>524500</v>
      </c>
      <c r="Y41" t="s">
        <v>48</v>
      </c>
      <c r="Z41" s="1">
        <v>649000</v>
      </c>
    </row>
    <row r="42" spans="1:28">
      <c r="S42" t="s">
        <v>50</v>
      </c>
      <c r="T42" s="1">
        <v>510450</v>
      </c>
      <c r="U42" t="s">
        <v>58</v>
      </c>
      <c r="V42" s="1">
        <v>625000</v>
      </c>
      <c r="W42" t="s">
        <v>49</v>
      </c>
      <c r="X42" s="1">
        <v>1522000</v>
      </c>
      <c r="Y42" t="s">
        <v>49</v>
      </c>
      <c r="Z42" s="1">
        <v>4897500</v>
      </c>
    </row>
    <row r="43" spans="1:28">
      <c r="U43" t="s">
        <v>48</v>
      </c>
      <c r="V43" s="1">
        <v>319500</v>
      </c>
      <c r="W43" t="s">
        <v>50</v>
      </c>
      <c r="X43" s="1">
        <v>1362995</v>
      </c>
      <c r="Y43" t="s">
        <v>50</v>
      </c>
      <c r="Z43" s="1">
        <v>2893591</v>
      </c>
    </row>
    <row r="44" spans="1:28">
      <c r="U44" t="s">
        <v>49</v>
      </c>
      <c r="V44" s="1">
        <v>820000</v>
      </c>
    </row>
    <row r="45" spans="1:28">
      <c r="U45" t="s">
        <v>50</v>
      </c>
      <c r="V45" s="1">
        <v>751081</v>
      </c>
    </row>
    <row r="57" spans="2:2">
      <c r="B57" t="s">
        <v>0</v>
      </c>
    </row>
    <row r="58" spans="2:2">
      <c r="B58" t="s">
        <v>1</v>
      </c>
    </row>
    <row r="59" spans="2:2">
      <c r="B59" t="s">
        <v>2</v>
      </c>
    </row>
    <row r="60" spans="2:2">
      <c r="B60" t="s">
        <v>3</v>
      </c>
    </row>
    <row r="61" spans="2:2">
      <c r="B61" t="s">
        <v>4</v>
      </c>
    </row>
    <row r="62" spans="2:2">
      <c r="B62" t="s">
        <v>5</v>
      </c>
    </row>
    <row r="63" spans="2:2">
      <c r="B63" t="s">
        <v>6</v>
      </c>
    </row>
    <row r="64" spans="2:2">
      <c r="B64" t="s">
        <v>7</v>
      </c>
    </row>
    <row r="65" spans="2:2">
      <c r="B65" t="s">
        <v>8</v>
      </c>
    </row>
    <row r="66" spans="2:2">
      <c r="B66" t="s">
        <v>9</v>
      </c>
    </row>
    <row r="67" spans="2:2">
      <c r="B67" t="s">
        <v>10</v>
      </c>
    </row>
  </sheetData>
  <phoneticPr fontId="1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D2" sqref="D2"/>
    </sheetView>
  </sheetViews>
  <sheetFormatPr defaultRowHeight="15"/>
  <cols>
    <col min="1" max="1" width="3" bestFit="1" customWidth="1"/>
    <col min="2" max="2" width="27.42578125" bestFit="1" customWidth="1"/>
    <col min="4" max="4" width="12" bestFit="1" customWidth="1"/>
  </cols>
  <sheetData>
    <row r="1" spans="1:5">
      <c r="C1" t="s">
        <v>87</v>
      </c>
      <c r="D1" t="s">
        <v>88</v>
      </c>
      <c r="E1" s="7">
        <f>Inputs!B10</f>
        <v>8</v>
      </c>
    </row>
    <row r="2" spans="1:5">
      <c r="A2">
        <v>1</v>
      </c>
      <c r="B2" t="s">
        <v>11</v>
      </c>
      <c r="C2" s="8">
        <v>1</v>
      </c>
      <c r="D2">
        <f>C2*$E$1</f>
        <v>8</v>
      </c>
    </row>
    <row r="3" spans="1:5">
      <c r="A3">
        <f>+A2+1</f>
        <v>2</v>
      </c>
      <c r="B3" t="s">
        <v>13</v>
      </c>
      <c r="C3" s="8">
        <v>5</v>
      </c>
      <c r="D3">
        <f t="shared" ref="D3:D36" si="0">C3*$E$1</f>
        <v>40</v>
      </c>
    </row>
    <row r="4" spans="1:5">
      <c r="A4">
        <f t="shared" ref="A4:A36" si="1">+A3+1</f>
        <v>3</v>
      </c>
      <c r="B4" t="s">
        <v>14</v>
      </c>
      <c r="C4" s="8">
        <v>2</v>
      </c>
      <c r="D4">
        <f t="shared" si="0"/>
        <v>16</v>
      </c>
    </row>
    <row r="5" spans="1:5">
      <c r="A5">
        <f t="shared" si="1"/>
        <v>4</v>
      </c>
      <c r="B5" t="s">
        <v>17</v>
      </c>
      <c r="C5" s="8">
        <v>9</v>
      </c>
      <c r="D5">
        <f t="shared" si="0"/>
        <v>72</v>
      </c>
    </row>
    <row r="6" spans="1:5">
      <c r="A6">
        <f t="shared" si="1"/>
        <v>5</v>
      </c>
      <c r="B6" t="s">
        <v>18</v>
      </c>
      <c r="C6" s="8">
        <v>3</v>
      </c>
      <c r="D6">
        <f t="shared" si="0"/>
        <v>24</v>
      </c>
    </row>
    <row r="7" spans="1:5">
      <c r="A7">
        <f t="shared" si="1"/>
        <v>6</v>
      </c>
      <c r="B7" t="s">
        <v>19</v>
      </c>
      <c r="C7" s="8">
        <v>2</v>
      </c>
      <c r="D7">
        <f t="shared" si="0"/>
        <v>16</v>
      </c>
    </row>
    <row r="8" spans="1:5">
      <c r="A8">
        <f t="shared" si="1"/>
        <v>7</v>
      </c>
      <c r="B8" t="s">
        <v>20</v>
      </c>
      <c r="C8" s="8">
        <v>4</v>
      </c>
      <c r="D8">
        <f t="shared" si="0"/>
        <v>32</v>
      </c>
    </row>
    <row r="9" spans="1:5">
      <c r="A9">
        <f t="shared" si="1"/>
        <v>8</v>
      </c>
      <c r="B9" t="s">
        <v>21</v>
      </c>
      <c r="C9" s="8">
        <v>5</v>
      </c>
      <c r="D9">
        <f t="shared" si="0"/>
        <v>40</v>
      </c>
    </row>
    <row r="10" spans="1:5">
      <c r="A10">
        <f t="shared" si="1"/>
        <v>9</v>
      </c>
      <c r="B10" t="s">
        <v>22</v>
      </c>
      <c r="C10" s="8">
        <v>5</v>
      </c>
      <c r="D10">
        <f t="shared" si="0"/>
        <v>40</v>
      </c>
    </row>
    <row r="11" spans="1:5">
      <c r="A11">
        <f t="shared" si="1"/>
        <v>10</v>
      </c>
      <c r="B11" t="s">
        <v>23</v>
      </c>
      <c r="C11" s="8">
        <v>4</v>
      </c>
      <c r="D11">
        <f t="shared" si="0"/>
        <v>32</v>
      </c>
    </row>
    <row r="12" spans="1:5">
      <c r="A12">
        <f t="shared" si="1"/>
        <v>11</v>
      </c>
      <c r="B12" t="s">
        <v>25</v>
      </c>
      <c r="C12" s="8">
        <v>7</v>
      </c>
      <c r="D12">
        <f t="shared" si="0"/>
        <v>56</v>
      </c>
    </row>
    <row r="13" spans="1:5">
      <c r="A13">
        <f t="shared" si="1"/>
        <v>12</v>
      </c>
      <c r="B13" t="s">
        <v>27</v>
      </c>
      <c r="C13" s="8">
        <v>9.01</v>
      </c>
      <c r="D13">
        <f t="shared" si="0"/>
        <v>72.08</v>
      </c>
    </row>
    <row r="14" spans="1:5">
      <c r="A14">
        <f t="shared" si="1"/>
        <v>13</v>
      </c>
      <c r="B14" t="s">
        <v>28</v>
      </c>
      <c r="C14" s="8">
        <v>6</v>
      </c>
      <c r="D14">
        <f t="shared" si="0"/>
        <v>48</v>
      </c>
    </row>
    <row r="15" spans="1:5">
      <c r="A15">
        <f t="shared" si="1"/>
        <v>14</v>
      </c>
      <c r="B15" t="s">
        <v>29</v>
      </c>
      <c r="C15" s="8">
        <v>2</v>
      </c>
      <c r="D15">
        <f t="shared" si="0"/>
        <v>16</v>
      </c>
    </row>
    <row r="16" spans="1:5">
      <c r="A16">
        <f t="shared" si="1"/>
        <v>15</v>
      </c>
      <c r="B16" t="s">
        <v>61</v>
      </c>
      <c r="C16" s="8">
        <v>2</v>
      </c>
      <c r="D16">
        <f t="shared" si="0"/>
        <v>16</v>
      </c>
    </row>
    <row r="17" spans="1:4">
      <c r="A17">
        <f t="shared" si="1"/>
        <v>16</v>
      </c>
      <c r="B17" t="s">
        <v>31</v>
      </c>
      <c r="C17" s="8">
        <v>5</v>
      </c>
      <c r="D17">
        <f t="shared" si="0"/>
        <v>40</v>
      </c>
    </row>
    <row r="18" spans="1:4">
      <c r="A18">
        <f t="shared" si="1"/>
        <v>17</v>
      </c>
      <c r="B18" t="s">
        <v>33</v>
      </c>
      <c r="C18" s="8">
        <v>4</v>
      </c>
      <c r="D18">
        <f t="shared" si="0"/>
        <v>32</v>
      </c>
    </row>
    <row r="19" spans="1:4">
      <c r="A19">
        <f t="shared" si="1"/>
        <v>18</v>
      </c>
      <c r="B19" t="s">
        <v>34</v>
      </c>
      <c r="C19" s="8">
        <v>5</v>
      </c>
      <c r="D19">
        <f t="shared" si="0"/>
        <v>40</v>
      </c>
    </row>
    <row r="20" spans="1:4">
      <c r="A20">
        <f t="shared" si="1"/>
        <v>19</v>
      </c>
      <c r="B20" t="s">
        <v>35</v>
      </c>
      <c r="C20" s="8">
        <v>6</v>
      </c>
      <c r="D20">
        <f t="shared" si="0"/>
        <v>48</v>
      </c>
    </row>
    <row r="21" spans="1:4">
      <c r="A21">
        <f t="shared" si="1"/>
        <v>20</v>
      </c>
      <c r="B21" t="s">
        <v>36</v>
      </c>
      <c r="C21" s="8">
        <v>5</v>
      </c>
      <c r="D21">
        <f t="shared" si="0"/>
        <v>40</v>
      </c>
    </row>
    <row r="22" spans="1:4">
      <c r="A22">
        <f t="shared" si="1"/>
        <v>21</v>
      </c>
      <c r="B22" t="s">
        <v>37</v>
      </c>
      <c r="C22" s="8">
        <v>8</v>
      </c>
      <c r="D22">
        <f t="shared" si="0"/>
        <v>64</v>
      </c>
    </row>
    <row r="23" spans="1:4">
      <c r="A23">
        <f t="shared" si="1"/>
        <v>22</v>
      </c>
      <c r="B23" t="s">
        <v>38</v>
      </c>
      <c r="C23" s="8">
        <v>6</v>
      </c>
      <c r="D23">
        <f t="shared" si="0"/>
        <v>48</v>
      </c>
    </row>
    <row r="24" spans="1:4">
      <c r="A24">
        <f t="shared" si="1"/>
        <v>23</v>
      </c>
      <c r="B24" t="s">
        <v>39</v>
      </c>
      <c r="C24" s="8">
        <v>1.01</v>
      </c>
      <c r="D24">
        <f t="shared" si="0"/>
        <v>8.08</v>
      </c>
    </row>
    <row r="25" spans="1:4">
      <c r="A25">
        <f t="shared" si="1"/>
        <v>24</v>
      </c>
      <c r="B25" t="s">
        <v>52</v>
      </c>
      <c r="C25" s="8">
        <v>1</v>
      </c>
      <c r="D25">
        <f t="shared" si="0"/>
        <v>8</v>
      </c>
    </row>
    <row r="26" spans="1:4">
      <c r="A26">
        <f t="shared" si="1"/>
        <v>25</v>
      </c>
      <c r="B26" t="s">
        <v>40</v>
      </c>
      <c r="C26" s="8">
        <v>0</v>
      </c>
      <c r="D26">
        <f t="shared" si="0"/>
        <v>0</v>
      </c>
    </row>
    <row r="27" spans="1:4">
      <c r="A27">
        <f t="shared" si="1"/>
        <v>26</v>
      </c>
      <c r="B27" t="s">
        <v>41</v>
      </c>
      <c r="C27" s="8">
        <v>2</v>
      </c>
      <c r="D27">
        <f t="shared" si="0"/>
        <v>16</v>
      </c>
    </row>
    <row r="28" spans="1:4">
      <c r="A28">
        <f t="shared" si="1"/>
        <v>27</v>
      </c>
      <c r="B28" t="s">
        <v>53</v>
      </c>
      <c r="C28" s="8">
        <v>5</v>
      </c>
      <c r="D28">
        <f t="shared" si="0"/>
        <v>40</v>
      </c>
    </row>
    <row r="29" spans="1:4">
      <c r="A29">
        <f t="shared" si="1"/>
        <v>28</v>
      </c>
      <c r="B29" t="s">
        <v>42</v>
      </c>
      <c r="C29" s="8">
        <v>3</v>
      </c>
      <c r="D29">
        <f t="shared" si="0"/>
        <v>24</v>
      </c>
    </row>
    <row r="30" spans="1:4">
      <c r="A30">
        <f t="shared" si="1"/>
        <v>29</v>
      </c>
      <c r="B30" t="s">
        <v>43</v>
      </c>
      <c r="C30" s="8">
        <v>1.0009999999999999</v>
      </c>
      <c r="D30">
        <f t="shared" si="0"/>
        <v>8.0079999999999991</v>
      </c>
    </row>
    <row r="31" spans="1:4">
      <c r="A31">
        <f t="shared" si="1"/>
        <v>30</v>
      </c>
      <c r="B31" t="s">
        <v>44</v>
      </c>
      <c r="C31" s="8">
        <v>3</v>
      </c>
      <c r="D31">
        <f t="shared" si="0"/>
        <v>24</v>
      </c>
    </row>
    <row r="32" spans="1:4">
      <c r="A32">
        <f t="shared" si="1"/>
        <v>31</v>
      </c>
      <c r="B32" t="s">
        <v>46</v>
      </c>
      <c r="C32" s="8">
        <v>4</v>
      </c>
      <c r="D32">
        <f t="shared" si="0"/>
        <v>32</v>
      </c>
    </row>
    <row r="33" spans="1:4">
      <c r="A33">
        <f t="shared" si="1"/>
        <v>32</v>
      </c>
      <c r="B33" t="s">
        <v>47</v>
      </c>
      <c r="C33" s="8">
        <v>8</v>
      </c>
      <c r="D33">
        <f t="shared" si="0"/>
        <v>64</v>
      </c>
    </row>
    <row r="34" spans="1:4">
      <c r="A34">
        <f t="shared" si="1"/>
        <v>33</v>
      </c>
      <c r="B34" t="s">
        <v>62</v>
      </c>
      <c r="C34" s="8">
        <v>8</v>
      </c>
      <c r="D34">
        <f t="shared" si="0"/>
        <v>64</v>
      </c>
    </row>
    <row r="35" spans="1:4">
      <c r="A35">
        <f t="shared" si="1"/>
        <v>34</v>
      </c>
      <c r="B35" t="s">
        <v>48</v>
      </c>
      <c r="C35" s="8">
        <v>8</v>
      </c>
      <c r="D35">
        <f t="shared" si="0"/>
        <v>64</v>
      </c>
    </row>
    <row r="36" spans="1:4">
      <c r="A36">
        <f t="shared" si="1"/>
        <v>35</v>
      </c>
      <c r="B36" t="s">
        <v>49</v>
      </c>
      <c r="C36" s="8">
        <v>6</v>
      </c>
      <c r="D36">
        <f t="shared" si="0"/>
        <v>48</v>
      </c>
    </row>
    <row r="38" spans="1:4">
      <c r="A38">
        <f>OBJ!C2</f>
        <v>5</v>
      </c>
      <c r="B38" t="str">
        <f>OBJ!B2</f>
        <v>East Village</v>
      </c>
      <c r="C38" s="5">
        <f>VLOOKUP($B$38,$B$2:$D$36,COLUMN(B37),FALSE)</f>
        <v>3</v>
      </c>
      <c r="D38" s="5">
        <f>VLOOKUP($B$38,$B$2:$D$36,COLUMN(C37),FALSE)</f>
        <v>24</v>
      </c>
    </row>
  </sheetData>
  <phoneticPr fontId="16" type="noConversion"/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E77"/>
  <sheetViews>
    <sheetView workbookViewId="0">
      <selection activeCell="F10" sqref="F10"/>
    </sheetView>
  </sheetViews>
  <sheetFormatPr defaultRowHeight="15"/>
  <cols>
    <col min="2" max="2" width="27.42578125" bestFit="1" customWidth="1"/>
  </cols>
  <sheetData>
    <row r="1" spans="1:5">
      <c r="C1" t="s">
        <v>189</v>
      </c>
      <c r="D1" t="s">
        <v>88</v>
      </c>
      <c r="E1" s="7">
        <f>Inputs!B10</f>
        <v>8</v>
      </c>
    </row>
    <row r="2" spans="1:5">
      <c r="A2">
        <v>1</v>
      </c>
      <c r="B2" t="s">
        <v>11</v>
      </c>
      <c r="C2" s="8">
        <v>5</v>
      </c>
      <c r="D2">
        <f>C2*$E$1</f>
        <v>40</v>
      </c>
    </row>
    <row r="3" spans="1:5">
      <c r="A3">
        <f>+A2+1</f>
        <v>2</v>
      </c>
      <c r="B3" t="s">
        <v>13</v>
      </c>
      <c r="C3" s="8">
        <v>5</v>
      </c>
      <c r="D3">
        <f t="shared" ref="D3:D36" si="0">C3*$E$1</f>
        <v>40</v>
      </c>
    </row>
    <row r="4" spans="1:5">
      <c r="A4">
        <f t="shared" ref="A4:A36" si="1">+A3+1</f>
        <v>3</v>
      </c>
      <c r="B4" t="s">
        <v>14</v>
      </c>
      <c r="C4" s="8">
        <v>5</v>
      </c>
      <c r="D4">
        <f t="shared" si="0"/>
        <v>40</v>
      </c>
    </row>
    <row r="5" spans="1:5">
      <c r="A5">
        <f t="shared" si="1"/>
        <v>4</v>
      </c>
      <c r="B5" t="s">
        <v>17</v>
      </c>
      <c r="C5" s="8">
        <v>5</v>
      </c>
      <c r="D5">
        <f t="shared" si="0"/>
        <v>40</v>
      </c>
    </row>
    <row r="6" spans="1:5">
      <c r="A6">
        <f t="shared" si="1"/>
        <v>5</v>
      </c>
      <c r="B6" t="s">
        <v>18</v>
      </c>
      <c r="C6" s="8">
        <v>5</v>
      </c>
      <c r="D6">
        <f t="shared" si="0"/>
        <v>40</v>
      </c>
    </row>
    <row r="7" spans="1:5">
      <c r="A7">
        <f t="shared" si="1"/>
        <v>6</v>
      </c>
      <c r="B7" t="s">
        <v>19</v>
      </c>
      <c r="C7" s="8">
        <v>5</v>
      </c>
      <c r="D7">
        <f t="shared" si="0"/>
        <v>40</v>
      </c>
    </row>
    <row r="8" spans="1:5">
      <c r="A8">
        <f t="shared" si="1"/>
        <v>7</v>
      </c>
      <c r="B8" t="s">
        <v>20</v>
      </c>
      <c r="C8" s="8">
        <v>5</v>
      </c>
      <c r="D8">
        <f t="shared" si="0"/>
        <v>40</v>
      </c>
    </row>
    <row r="9" spans="1:5">
      <c r="A9">
        <f t="shared" si="1"/>
        <v>8</v>
      </c>
      <c r="B9" t="s">
        <v>21</v>
      </c>
      <c r="C9" s="8">
        <v>5</v>
      </c>
      <c r="D9">
        <f t="shared" si="0"/>
        <v>40</v>
      </c>
    </row>
    <row r="10" spans="1:5">
      <c r="A10">
        <f t="shared" si="1"/>
        <v>9</v>
      </c>
      <c r="B10" t="s">
        <v>22</v>
      </c>
      <c r="C10" s="8">
        <v>5</v>
      </c>
      <c r="D10">
        <f t="shared" si="0"/>
        <v>40</v>
      </c>
    </row>
    <row r="11" spans="1:5">
      <c r="A11">
        <f t="shared" si="1"/>
        <v>10</v>
      </c>
      <c r="B11" t="s">
        <v>23</v>
      </c>
      <c r="C11" s="8">
        <v>5</v>
      </c>
      <c r="D11">
        <f t="shared" si="0"/>
        <v>40</v>
      </c>
    </row>
    <row r="12" spans="1:5">
      <c r="A12">
        <f t="shared" si="1"/>
        <v>11</v>
      </c>
      <c r="B12" t="s">
        <v>25</v>
      </c>
      <c r="C12" s="8">
        <v>5</v>
      </c>
      <c r="D12">
        <f t="shared" si="0"/>
        <v>40</v>
      </c>
    </row>
    <row r="13" spans="1:5">
      <c r="A13">
        <f t="shared" si="1"/>
        <v>12</v>
      </c>
      <c r="B13" t="s">
        <v>27</v>
      </c>
      <c r="C13" s="8">
        <v>5</v>
      </c>
      <c r="D13">
        <f t="shared" si="0"/>
        <v>40</v>
      </c>
    </row>
    <row r="14" spans="1:5">
      <c r="A14">
        <f t="shared" si="1"/>
        <v>13</v>
      </c>
      <c r="B14" t="s">
        <v>28</v>
      </c>
      <c r="C14" s="8">
        <v>5</v>
      </c>
      <c r="D14">
        <f t="shared" si="0"/>
        <v>40</v>
      </c>
    </row>
    <row r="15" spans="1:5">
      <c r="A15">
        <f t="shared" si="1"/>
        <v>14</v>
      </c>
      <c r="B15" t="s">
        <v>29</v>
      </c>
      <c r="C15" s="8">
        <v>5</v>
      </c>
      <c r="D15">
        <f t="shared" si="0"/>
        <v>40</v>
      </c>
    </row>
    <row r="16" spans="1:5">
      <c r="A16">
        <f t="shared" si="1"/>
        <v>15</v>
      </c>
      <c r="B16" t="s">
        <v>61</v>
      </c>
      <c r="C16" s="8">
        <v>5</v>
      </c>
      <c r="D16">
        <f t="shared" si="0"/>
        <v>40</v>
      </c>
    </row>
    <row r="17" spans="1:4">
      <c r="A17">
        <f t="shared" si="1"/>
        <v>16</v>
      </c>
      <c r="B17" t="s">
        <v>31</v>
      </c>
      <c r="C17" s="8">
        <v>5</v>
      </c>
      <c r="D17">
        <f t="shared" si="0"/>
        <v>40</v>
      </c>
    </row>
    <row r="18" spans="1:4">
      <c r="A18">
        <f t="shared" si="1"/>
        <v>17</v>
      </c>
      <c r="B18" t="s">
        <v>33</v>
      </c>
      <c r="C18" s="8">
        <v>5</v>
      </c>
      <c r="D18">
        <f t="shared" si="0"/>
        <v>40</v>
      </c>
    </row>
    <row r="19" spans="1:4">
      <c r="A19">
        <f t="shared" si="1"/>
        <v>18</v>
      </c>
      <c r="B19" t="s">
        <v>34</v>
      </c>
      <c r="C19" s="8">
        <v>5</v>
      </c>
      <c r="D19">
        <f t="shared" si="0"/>
        <v>40</v>
      </c>
    </row>
    <row r="20" spans="1:4">
      <c r="A20">
        <f t="shared" si="1"/>
        <v>19</v>
      </c>
      <c r="B20" t="s">
        <v>35</v>
      </c>
      <c r="C20" s="8">
        <v>5</v>
      </c>
      <c r="D20">
        <f t="shared" si="0"/>
        <v>40</v>
      </c>
    </row>
    <row r="21" spans="1:4">
      <c r="A21">
        <f t="shared" si="1"/>
        <v>20</v>
      </c>
      <c r="B21" t="s">
        <v>36</v>
      </c>
      <c r="C21" s="8">
        <v>5</v>
      </c>
      <c r="D21">
        <f t="shared" si="0"/>
        <v>40</v>
      </c>
    </row>
    <row r="22" spans="1:4">
      <c r="A22">
        <f t="shared" si="1"/>
        <v>21</v>
      </c>
      <c r="B22" t="s">
        <v>37</v>
      </c>
      <c r="C22" s="8">
        <v>5</v>
      </c>
      <c r="D22">
        <f t="shared" si="0"/>
        <v>40</v>
      </c>
    </row>
    <row r="23" spans="1:4">
      <c r="A23">
        <f t="shared" si="1"/>
        <v>22</v>
      </c>
      <c r="B23" t="s">
        <v>38</v>
      </c>
      <c r="C23" s="8">
        <v>5</v>
      </c>
      <c r="D23">
        <f t="shared" si="0"/>
        <v>40</v>
      </c>
    </row>
    <row r="24" spans="1:4">
      <c r="A24">
        <f t="shared" si="1"/>
        <v>23</v>
      </c>
      <c r="B24" t="s">
        <v>39</v>
      </c>
      <c r="C24" s="8">
        <v>5</v>
      </c>
      <c r="D24">
        <f t="shared" si="0"/>
        <v>40</v>
      </c>
    </row>
    <row r="25" spans="1:4">
      <c r="A25">
        <f t="shared" si="1"/>
        <v>24</v>
      </c>
      <c r="B25" t="s">
        <v>52</v>
      </c>
      <c r="C25" s="8">
        <v>5</v>
      </c>
      <c r="D25">
        <f t="shared" si="0"/>
        <v>40</v>
      </c>
    </row>
    <row r="26" spans="1:4">
      <c r="A26">
        <f t="shared" si="1"/>
        <v>25</v>
      </c>
      <c r="B26" t="s">
        <v>40</v>
      </c>
      <c r="C26" s="8">
        <v>5</v>
      </c>
      <c r="D26">
        <f t="shared" si="0"/>
        <v>40</v>
      </c>
    </row>
    <row r="27" spans="1:4">
      <c r="A27">
        <f t="shared" si="1"/>
        <v>26</v>
      </c>
      <c r="B27" t="s">
        <v>41</v>
      </c>
      <c r="C27" s="8">
        <v>5</v>
      </c>
      <c r="D27">
        <f t="shared" si="0"/>
        <v>40</v>
      </c>
    </row>
    <row r="28" spans="1:4">
      <c r="A28">
        <f t="shared" si="1"/>
        <v>27</v>
      </c>
      <c r="B28" t="s">
        <v>53</v>
      </c>
      <c r="C28" s="8">
        <v>5</v>
      </c>
      <c r="D28">
        <f t="shared" si="0"/>
        <v>40</v>
      </c>
    </row>
    <row r="29" spans="1:4">
      <c r="A29">
        <f t="shared" si="1"/>
        <v>28</v>
      </c>
      <c r="B29" t="s">
        <v>42</v>
      </c>
      <c r="C29" s="8">
        <v>5</v>
      </c>
      <c r="D29">
        <f t="shared" si="0"/>
        <v>40</v>
      </c>
    </row>
    <row r="30" spans="1:4">
      <c r="A30">
        <f t="shared" si="1"/>
        <v>29</v>
      </c>
      <c r="B30" t="s">
        <v>43</v>
      </c>
      <c r="C30" s="8">
        <v>5</v>
      </c>
      <c r="D30">
        <f t="shared" si="0"/>
        <v>40</v>
      </c>
    </row>
    <row r="31" spans="1:4">
      <c r="A31">
        <f t="shared" si="1"/>
        <v>30</v>
      </c>
      <c r="B31" t="s">
        <v>44</v>
      </c>
      <c r="C31" s="8">
        <v>5</v>
      </c>
      <c r="D31">
        <f t="shared" si="0"/>
        <v>40</v>
      </c>
    </row>
    <row r="32" spans="1:4">
      <c r="A32">
        <f t="shared" si="1"/>
        <v>31</v>
      </c>
      <c r="B32" t="s">
        <v>46</v>
      </c>
      <c r="C32" s="8">
        <v>5</v>
      </c>
      <c r="D32">
        <f t="shared" si="0"/>
        <v>40</v>
      </c>
    </row>
    <row r="33" spans="1:31">
      <c r="A33">
        <f t="shared" si="1"/>
        <v>32</v>
      </c>
      <c r="B33" t="s">
        <v>47</v>
      </c>
      <c r="C33" s="8">
        <v>5</v>
      </c>
      <c r="D33">
        <f t="shared" si="0"/>
        <v>40</v>
      </c>
    </row>
    <row r="34" spans="1:31">
      <c r="A34">
        <f t="shared" si="1"/>
        <v>33</v>
      </c>
      <c r="B34" t="s">
        <v>62</v>
      </c>
      <c r="C34" s="8">
        <v>5</v>
      </c>
      <c r="D34">
        <f t="shared" si="0"/>
        <v>40</v>
      </c>
    </row>
    <row r="35" spans="1:31">
      <c r="A35">
        <f t="shared" si="1"/>
        <v>34</v>
      </c>
      <c r="B35" t="s">
        <v>48</v>
      </c>
      <c r="C35" s="8">
        <v>5</v>
      </c>
      <c r="D35">
        <f t="shared" si="0"/>
        <v>40</v>
      </c>
    </row>
    <row r="36" spans="1:31">
      <c r="A36">
        <f t="shared" si="1"/>
        <v>35</v>
      </c>
      <c r="B36" t="s">
        <v>49</v>
      </c>
      <c r="C36" s="8">
        <v>5</v>
      </c>
      <c r="D36">
        <f t="shared" si="0"/>
        <v>40</v>
      </c>
    </row>
    <row r="38" spans="1:31">
      <c r="A38">
        <f>OBJ!C2</f>
        <v>5</v>
      </c>
      <c r="B38" t="str">
        <f>OBJ!B2</f>
        <v>East Village</v>
      </c>
      <c r="C38" s="5">
        <f>VLOOKUP($B$38,$B$2:$D$36,COLUMN(B37),FALSE)</f>
        <v>5</v>
      </c>
      <c r="D38" s="5">
        <f>VLOOKUP($B$38,$B$2:$D$36,COLUMN(C37),FALSE)</f>
        <v>40</v>
      </c>
    </row>
    <row r="40" spans="1:31">
      <c r="A40" t="s">
        <v>190</v>
      </c>
    </row>
    <row r="41" spans="1:31">
      <c r="A41" t="s">
        <v>191</v>
      </c>
    </row>
    <row r="42" spans="1:31">
      <c r="A42" t="s">
        <v>192</v>
      </c>
    </row>
    <row r="44" spans="1:31">
      <c r="B44" s="29" t="s">
        <v>194</v>
      </c>
      <c r="G44">
        <f>COUNTA(E47:AE54)</f>
        <v>33</v>
      </c>
    </row>
    <row r="45" spans="1:31">
      <c r="A45" s="29" t="s">
        <v>193</v>
      </c>
      <c r="B45" t="s">
        <v>227</v>
      </c>
      <c r="C45" s="29" t="s">
        <v>228</v>
      </c>
      <c r="D45" t="s">
        <v>229</v>
      </c>
    </row>
    <row r="46" spans="1:31">
      <c r="A46" s="29" t="s">
        <v>195</v>
      </c>
      <c r="B46" s="29">
        <v>71.3</v>
      </c>
      <c r="C46" s="29">
        <v>82.4</v>
      </c>
      <c r="D46">
        <f>+B46+C46</f>
        <v>153.69999999999999</v>
      </c>
    </row>
    <row r="47" spans="1:31">
      <c r="A47" s="29" t="s">
        <v>196</v>
      </c>
      <c r="B47" s="29">
        <v>85.8</v>
      </c>
      <c r="C47" s="29">
        <v>92.6</v>
      </c>
      <c r="D47">
        <f t="shared" ref="D47:D77" si="2">+B47+C47</f>
        <v>178.39999999999998</v>
      </c>
      <c r="E47" t="str">
        <f>+B7</f>
        <v>Financial District</v>
      </c>
      <c r="F47" t="str">
        <f>+B31</f>
        <v>Tribeca</v>
      </c>
      <c r="G47" t="str">
        <f>+B15</f>
        <v>Koreatown</v>
      </c>
      <c r="H47" t="str">
        <f>+B21</f>
        <v>Midtown West</v>
      </c>
      <c r="I47" t="str">
        <f>+B19</f>
        <v>Midtown East</v>
      </c>
      <c r="J47" t="str">
        <f>+B20</f>
        <v>Midtown South</v>
      </c>
      <c r="K47" t="str">
        <f>+B4</f>
        <v>Chinatown</v>
      </c>
      <c r="L47" t="str">
        <f>+B14</f>
        <v>Kips Bay</v>
      </c>
      <c r="M47" t="str">
        <f>+B23</f>
        <v>Murray Hill</v>
      </c>
      <c r="N47" t="str">
        <f>+B24</f>
        <v>Noho</v>
      </c>
      <c r="O47" t="str">
        <f>+B25</f>
        <v>Nolita</v>
      </c>
      <c r="P47" t="str">
        <f>+B11</f>
        <v>Greenwich Village</v>
      </c>
      <c r="Q47" t="str">
        <f>+B10</f>
        <v>Gramercy Park</v>
      </c>
      <c r="R47" t="str">
        <f>+B9</f>
        <v>Garment District</v>
      </c>
      <c r="S47" t="str">
        <f>+B16</f>
        <v>Little Italy</v>
      </c>
      <c r="T47" t="str">
        <f>+B27</f>
        <v>Soho</v>
      </c>
      <c r="U47" t="str">
        <f>+B28</f>
        <v>Stuyvesant Town</v>
      </c>
      <c r="V47" t="str">
        <f>+B29</f>
        <v>Sutton Place</v>
      </c>
      <c r="W47" t="str">
        <f>+B30</f>
        <v>Times Square Theatre District</v>
      </c>
      <c r="X47" t="str">
        <f>+B32</f>
        <v>Union Square</v>
      </c>
      <c r="Y47" t="str">
        <f>+B33</f>
        <v>Upper East Side</v>
      </c>
      <c r="Z47" t="str">
        <f>+B26</f>
        <v>Roosevelt Island</v>
      </c>
      <c r="AA47" t="str">
        <f>+B2</f>
        <v>Battery Park City</v>
      </c>
      <c r="AB47" t="str">
        <f>+B3</f>
        <v>Chelsea</v>
      </c>
      <c r="AC47" t="str">
        <f>+B18</f>
        <v>Midtown</v>
      </c>
      <c r="AD47" t="str">
        <f>+B36</f>
        <v>West Village</v>
      </c>
      <c r="AE47" t="str">
        <f>+B6</f>
        <v>East Village</v>
      </c>
    </row>
    <row r="48" spans="1:31">
      <c r="A48" s="29" t="s">
        <v>197</v>
      </c>
      <c r="B48" s="29">
        <v>75.400000000000006</v>
      </c>
      <c r="C48" s="29">
        <v>84.7</v>
      </c>
      <c r="D48">
        <f t="shared" si="2"/>
        <v>160.10000000000002</v>
      </c>
      <c r="E48" t="str">
        <f>+B34</f>
        <v>Upper West Side</v>
      </c>
      <c r="F48" t="str">
        <f>+B22</f>
        <v>Morningside Heights</v>
      </c>
    </row>
    <row r="49" spans="1:6">
      <c r="A49" s="29" t="s">
        <v>198</v>
      </c>
      <c r="B49" s="29">
        <v>64.400000000000006</v>
      </c>
      <c r="C49" s="29">
        <v>76.5</v>
      </c>
      <c r="D49">
        <f t="shared" si="2"/>
        <v>140.9</v>
      </c>
      <c r="E49" t="str">
        <f>+B5</f>
        <v>East Harlem</v>
      </c>
    </row>
    <row r="50" spans="1:6">
      <c r="A50" s="29" t="s">
        <v>199</v>
      </c>
      <c r="B50" s="29">
        <v>59.1</v>
      </c>
      <c r="C50" s="29">
        <v>72</v>
      </c>
      <c r="D50">
        <f t="shared" si="2"/>
        <v>131.1</v>
      </c>
    </row>
    <row r="51" spans="1:6">
      <c r="A51" s="29" t="s">
        <v>200</v>
      </c>
      <c r="B51" s="29">
        <v>57.4</v>
      </c>
      <c r="C51" s="29">
        <v>76.3</v>
      </c>
      <c r="D51">
        <f t="shared" si="2"/>
        <v>133.69999999999999</v>
      </c>
    </row>
    <row r="52" spans="1:6">
      <c r="A52" s="29" t="s">
        <v>201</v>
      </c>
      <c r="B52" s="29">
        <v>50.9</v>
      </c>
      <c r="C52" s="29">
        <v>69</v>
      </c>
      <c r="D52">
        <f t="shared" si="2"/>
        <v>119.9</v>
      </c>
      <c r="E52" t="str">
        <f>+B12</f>
        <v>Harlem</v>
      </c>
    </row>
    <row r="53" spans="1:6">
      <c r="A53" s="29" t="s">
        <v>202</v>
      </c>
      <c r="B53" s="29">
        <v>63</v>
      </c>
      <c r="C53" s="29">
        <v>75.7</v>
      </c>
      <c r="D53">
        <f t="shared" si="2"/>
        <v>138.69999999999999</v>
      </c>
    </row>
    <row r="54" spans="1:6">
      <c r="A54" s="29" t="s">
        <v>203</v>
      </c>
      <c r="B54" s="29">
        <v>52.2</v>
      </c>
      <c r="C54" s="29">
        <v>71.599999999999994</v>
      </c>
      <c r="D54">
        <f t="shared" si="2"/>
        <v>123.8</v>
      </c>
      <c r="E54" t="str">
        <f>+B13</f>
        <v>Inwood</v>
      </c>
      <c r="F54" t="str">
        <f>+B35</f>
        <v>Washington Heights</v>
      </c>
    </row>
    <row r="55" spans="1:6">
      <c r="A55" s="29" t="s">
        <v>204</v>
      </c>
      <c r="B55" s="29">
        <v>59.3</v>
      </c>
      <c r="C55" s="29">
        <v>78.2</v>
      </c>
      <c r="D55">
        <f t="shared" si="2"/>
        <v>137.5</v>
      </c>
    </row>
    <row r="56" spans="1:6">
      <c r="A56" s="29" t="s">
        <v>205</v>
      </c>
      <c r="B56" s="29">
        <v>64.099999999999994</v>
      </c>
      <c r="C56" s="29">
        <v>76.400000000000006</v>
      </c>
      <c r="D56">
        <f t="shared" si="2"/>
        <v>140.5</v>
      </c>
    </row>
    <row r="57" spans="1:6">
      <c r="A57" s="29" t="s">
        <v>206</v>
      </c>
      <c r="B57" s="29">
        <v>53.8</v>
      </c>
      <c r="C57" s="29">
        <v>71</v>
      </c>
      <c r="D57">
        <f t="shared" si="2"/>
        <v>124.8</v>
      </c>
    </row>
    <row r="58" spans="1:6">
      <c r="A58" s="29" t="s">
        <v>207</v>
      </c>
      <c r="B58" s="29">
        <v>65.099999999999994</v>
      </c>
      <c r="C58" s="29">
        <v>76.2</v>
      </c>
      <c r="D58">
        <f t="shared" si="2"/>
        <v>141.30000000000001</v>
      </c>
    </row>
    <row r="59" spans="1:6">
      <c r="A59" s="29" t="s">
        <v>208</v>
      </c>
      <c r="B59" s="29">
        <v>65.900000000000006</v>
      </c>
      <c r="C59" s="29">
        <v>79.5</v>
      </c>
      <c r="D59">
        <f t="shared" si="2"/>
        <v>145.4</v>
      </c>
    </row>
    <row r="60" spans="1:6">
      <c r="A60" s="29" t="s">
        <v>209</v>
      </c>
      <c r="B60" s="29">
        <v>73.900000000000006</v>
      </c>
      <c r="C60" s="29">
        <v>85.7</v>
      </c>
      <c r="D60">
        <f t="shared" si="2"/>
        <v>159.60000000000002</v>
      </c>
    </row>
    <row r="61" spans="1:6">
      <c r="A61" s="29" t="s">
        <v>210</v>
      </c>
      <c r="B61" s="29">
        <v>59.8</v>
      </c>
      <c r="C61" s="29">
        <v>74.400000000000006</v>
      </c>
      <c r="D61">
        <f t="shared" si="2"/>
        <v>134.19999999999999</v>
      </c>
    </row>
    <row r="62" spans="1:6">
      <c r="A62" s="29" t="s">
        <v>211</v>
      </c>
      <c r="B62" s="29">
        <v>62.4</v>
      </c>
      <c r="C62" s="29">
        <v>75</v>
      </c>
      <c r="D62">
        <f t="shared" si="2"/>
        <v>137.4</v>
      </c>
    </row>
    <row r="63" spans="1:6">
      <c r="A63" s="29" t="s">
        <v>212</v>
      </c>
      <c r="B63" s="29">
        <v>66.2</v>
      </c>
      <c r="C63" s="29">
        <v>80.2</v>
      </c>
      <c r="D63">
        <f t="shared" si="2"/>
        <v>146.4</v>
      </c>
    </row>
    <row r="64" spans="1:6">
      <c r="A64" s="29" t="s">
        <v>213</v>
      </c>
      <c r="B64" s="29">
        <v>58.9</v>
      </c>
      <c r="C64" s="29">
        <v>74.8</v>
      </c>
      <c r="D64">
        <f t="shared" si="2"/>
        <v>133.69999999999999</v>
      </c>
    </row>
    <row r="65" spans="1:4">
      <c r="A65" s="29" t="s">
        <v>214</v>
      </c>
      <c r="B65" s="29">
        <v>75</v>
      </c>
      <c r="C65" s="29">
        <v>88.6</v>
      </c>
      <c r="D65">
        <f t="shared" si="2"/>
        <v>163.6</v>
      </c>
    </row>
    <row r="66" spans="1:4">
      <c r="A66" s="29" t="s">
        <v>215</v>
      </c>
      <c r="B66" s="29">
        <v>76.8</v>
      </c>
      <c r="C66" s="29">
        <v>88.8</v>
      </c>
      <c r="D66">
        <f t="shared" si="2"/>
        <v>165.6</v>
      </c>
    </row>
    <row r="67" spans="1:4">
      <c r="A67" s="29" t="s">
        <v>216</v>
      </c>
      <c r="B67" s="29">
        <v>75.8</v>
      </c>
      <c r="C67" s="29">
        <v>85.9</v>
      </c>
      <c r="D67">
        <f t="shared" si="2"/>
        <v>161.69999999999999</v>
      </c>
    </row>
    <row r="68" spans="1:4">
      <c r="A68" s="29" t="s">
        <v>217</v>
      </c>
      <c r="B68" s="29">
        <v>58.9</v>
      </c>
      <c r="C68" s="29">
        <v>70</v>
      </c>
      <c r="D68">
        <f t="shared" si="2"/>
        <v>128.9</v>
      </c>
    </row>
    <row r="69" spans="1:4">
      <c r="A69" s="29" t="s">
        <v>218</v>
      </c>
      <c r="B69" s="29">
        <v>72.900000000000006</v>
      </c>
      <c r="C69" s="29">
        <v>87.7</v>
      </c>
      <c r="D69">
        <f t="shared" si="2"/>
        <v>160.60000000000002</v>
      </c>
    </row>
    <row r="70" spans="1:4">
      <c r="A70" s="29" t="s">
        <v>219</v>
      </c>
      <c r="B70" s="29">
        <v>82.9</v>
      </c>
      <c r="C70" s="29">
        <v>93.3</v>
      </c>
      <c r="D70">
        <f t="shared" si="2"/>
        <v>176.2</v>
      </c>
    </row>
    <row r="71" spans="1:4">
      <c r="A71" s="29" t="s">
        <v>220</v>
      </c>
      <c r="B71" s="29">
        <v>91.3</v>
      </c>
      <c r="C71" s="29">
        <v>96.6</v>
      </c>
      <c r="D71">
        <f t="shared" si="2"/>
        <v>187.89999999999998</v>
      </c>
    </row>
    <row r="72" spans="1:4">
      <c r="A72" s="29" t="s">
        <v>221</v>
      </c>
      <c r="B72" s="29">
        <v>74.400000000000006</v>
      </c>
      <c r="C72" s="29">
        <v>85.2</v>
      </c>
      <c r="D72">
        <f t="shared" si="2"/>
        <v>159.60000000000002</v>
      </c>
    </row>
    <row r="73" spans="1:4">
      <c r="A73" s="29" t="s">
        <v>222</v>
      </c>
      <c r="B73" s="29">
        <v>74.599999999999994</v>
      </c>
      <c r="C73" s="29">
        <v>84.9</v>
      </c>
      <c r="D73">
        <f t="shared" si="2"/>
        <v>159.5</v>
      </c>
    </row>
    <row r="74" spans="1:4">
      <c r="A74" s="29" t="s">
        <v>223</v>
      </c>
      <c r="B74" s="29">
        <v>69.099999999999994</v>
      </c>
      <c r="C74" s="29">
        <v>79.2</v>
      </c>
      <c r="D74">
        <f t="shared" si="2"/>
        <v>148.30000000000001</v>
      </c>
    </row>
    <row r="75" spans="1:4">
      <c r="A75" s="29" t="s">
        <v>224</v>
      </c>
      <c r="B75" s="29">
        <v>74.900000000000006</v>
      </c>
      <c r="C75" s="29">
        <v>87.2</v>
      </c>
      <c r="D75">
        <f t="shared" si="2"/>
        <v>162.10000000000002</v>
      </c>
    </row>
    <row r="76" spans="1:4">
      <c r="A76" s="29" t="s">
        <v>225</v>
      </c>
      <c r="B76" s="29">
        <v>75.5</v>
      </c>
      <c r="C76" s="29">
        <v>85.9</v>
      </c>
      <c r="D76">
        <f t="shared" si="2"/>
        <v>161.4</v>
      </c>
    </row>
    <row r="77" spans="1:4">
      <c r="A77" s="29" t="s">
        <v>226</v>
      </c>
      <c r="B77" s="29">
        <v>62.5</v>
      </c>
      <c r="C77" s="29">
        <v>78.599999999999994</v>
      </c>
      <c r="D77">
        <f t="shared" si="2"/>
        <v>141.1</v>
      </c>
    </row>
  </sheetData>
  <phoneticPr fontId="16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43"/>
  <sheetViews>
    <sheetView workbookViewId="0">
      <selection activeCell="I14" sqref="I14"/>
    </sheetView>
  </sheetViews>
  <sheetFormatPr defaultRowHeight="15"/>
  <cols>
    <col min="2" max="2" width="22.42578125" customWidth="1"/>
  </cols>
  <sheetData>
    <row r="1" spans="1:12">
      <c r="G1">
        <f>Inputs!B16</f>
        <v>0</v>
      </c>
    </row>
    <row r="2" spans="1:12">
      <c r="C2" t="s">
        <v>91</v>
      </c>
      <c r="D2" t="s">
        <v>99</v>
      </c>
      <c r="E2" t="s">
        <v>100</v>
      </c>
      <c r="F2" t="s">
        <v>288</v>
      </c>
      <c r="G2" t="s">
        <v>88</v>
      </c>
    </row>
    <row r="3" spans="1:12">
      <c r="A3">
        <v>1</v>
      </c>
      <c r="B3" t="s">
        <v>11</v>
      </c>
      <c r="C3">
        <v>3</v>
      </c>
      <c r="D3" s="10">
        <f>VLOOKUP(B3,Size!A2:$D$36,4,FALSE)</f>
        <v>0.4</v>
      </c>
      <c r="E3" s="10">
        <f>C3/D3</f>
        <v>7.5</v>
      </c>
      <c r="F3">
        <f t="shared" ref="F3:F37" si="0">VLOOKUP(E3,$K$4:$L$14,2,TRUE)</f>
        <v>3</v>
      </c>
      <c r="G3">
        <f>F3*$G$1</f>
        <v>0</v>
      </c>
      <c r="K3" t="s">
        <v>100</v>
      </c>
      <c r="L3" t="s">
        <v>88</v>
      </c>
    </row>
    <row r="4" spans="1:12">
      <c r="A4">
        <f>+A3+1</f>
        <v>2</v>
      </c>
      <c r="B4" t="s">
        <v>13</v>
      </c>
      <c r="C4">
        <v>8</v>
      </c>
      <c r="D4" s="10">
        <f>VLOOKUP(B4,Size!A3:$D$36,4,FALSE)</f>
        <v>2.5920000000000005</v>
      </c>
      <c r="E4" s="10">
        <f t="shared" ref="E4:E37" si="1">C4/D4</f>
        <v>3.0864197530864192</v>
      </c>
      <c r="F4">
        <f t="shared" si="0"/>
        <v>1</v>
      </c>
      <c r="G4">
        <f t="shared" ref="G4:G37" si="2">F4*$G$1</f>
        <v>0</v>
      </c>
      <c r="K4">
        <v>0</v>
      </c>
      <c r="L4">
        <v>0</v>
      </c>
    </row>
    <row r="5" spans="1:12">
      <c r="A5">
        <f t="shared" ref="A5:A37" si="3">+A4+1</f>
        <v>3</v>
      </c>
      <c r="B5" t="s">
        <v>14</v>
      </c>
      <c r="C5">
        <v>19</v>
      </c>
      <c r="D5" s="10">
        <f>VLOOKUP(B5,Size!A4:$D$36,4,FALSE)</f>
        <v>0.38880000000000003</v>
      </c>
      <c r="E5" s="10">
        <f t="shared" si="1"/>
        <v>48.868312757201643</v>
      </c>
      <c r="F5">
        <f t="shared" si="0"/>
        <v>9</v>
      </c>
      <c r="G5">
        <f t="shared" si="2"/>
        <v>0</v>
      </c>
      <c r="K5">
        <v>2</v>
      </c>
      <c r="L5">
        <v>1</v>
      </c>
    </row>
    <row r="6" spans="1:12">
      <c r="A6">
        <f t="shared" si="3"/>
        <v>4</v>
      </c>
      <c r="B6" t="s">
        <v>17</v>
      </c>
      <c r="C6">
        <v>21</v>
      </c>
      <c r="D6" s="10">
        <f>VLOOKUP(B6,Size!A5:$D$36,4,FALSE)</f>
        <v>5.5944000000000003</v>
      </c>
      <c r="E6" s="10">
        <f t="shared" si="1"/>
        <v>3.7537537537537538</v>
      </c>
      <c r="F6">
        <f t="shared" si="0"/>
        <v>1</v>
      </c>
      <c r="G6">
        <f t="shared" si="2"/>
        <v>0</v>
      </c>
      <c r="K6">
        <v>4</v>
      </c>
      <c r="L6">
        <v>2</v>
      </c>
    </row>
    <row r="7" spans="1:12">
      <c r="A7">
        <f t="shared" si="3"/>
        <v>5</v>
      </c>
      <c r="B7" t="s">
        <v>18</v>
      </c>
      <c r="C7">
        <v>30</v>
      </c>
      <c r="D7" s="10">
        <f>VLOOKUP(B7,Size!A6:$D$36,4,FALSE)</f>
        <v>2.1168</v>
      </c>
      <c r="E7" s="10">
        <f t="shared" si="1"/>
        <v>14.172335600907029</v>
      </c>
      <c r="F7">
        <f t="shared" si="0"/>
        <v>5</v>
      </c>
      <c r="G7">
        <f t="shared" si="2"/>
        <v>0</v>
      </c>
      <c r="K7">
        <v>6</v>
      </c>
      <c r="L7">
        <v>3</v>
      </c>
    </row>
    <row r="8" spans="1:12">
      <c r="A8">
        <f t="shared" si="3"/>
        <v>6</v>
      </c>
      <c r="B8" t="s">
        <v>19</v>
      </c>
      <c r="C8">
        <v>5</v>
      </c>
      <c r="D8" s="10">
        <f>VLOOKUP(B8,Size!A7:$D$36,4,FALSE)</f>
        <v>0.64800000000000013</v>
      </c>
      <c r="E8" s="10">
        <f t="shared" si="1"/>
        <v>7.7160493827160481</v>
      </c>
      <c r="F8">
        <f t="shared" si="0"/>
        <v>3</v>
      </c>
      <c r="G8">
        <f t="shared" si="2"/>
        <v>0</v>
      </c>
      <c r="K8">
        <v>8</v>
      </c>
      <c r="L8">
        <v>4</v>
      </c>
    </row>
    <row r="9" spans="1:12">
      <c r="A9">
        <f t="shared" si="3"/>
        <v>7</v>
      </c>
      <c r="B9" t="s">
        <v>20</v>
      </c>
      <c r="C9">
        <v>10</v>
      </c>
      <c r="D9" s="10">
        <f>VLOOKUP(B9,Size!A8:$D$36,4,FALSE)</f>
        <v>0.47520000000000007</v>
      </c>
      <c r="E9" s="10">
        <f t="shared" si="1"/>
        <v>21.043771043771041</v>
      </c>
      <c r="F9">
        <f t="shared" si="0"/>
        <v>7</v>
      </c>
      <c r="G9">
        <f t="shared" si="2"/>
        <v>0</v>
      </c>
      <c r="K9">
        <v>10</v>
      </c>
      <c r="L9">
        <v>5</v>
      </c>
    </row>
    <row r="10" spans="1:12">
      <c r="A10">
        <f t="shared" si="3"/>
        <v>8</v>
      </c>
      <c r="B10" t="s">
        <v>21</v>
      </c>
      <c r="C10">
        <v>5</v>
      </c>
      <c r="D10" s="10">
        <f>VLOOKUP(B10,Size!A9:$D$36,4,FALSE)</f>
        <v>0.69120000000000004</v>
      </c>
      <c r="E10" s="10">
        <f t="shared" si="1"/>
        <v>7.2337962962962958</v>
      </c>
      <c r="F10">
        <f t="shared" si="0"/>
        <v>3</v>
      </c>
      <c r="G10">
        <f t="shared" si="2"/>
        <v>0</v>
      </c>
      <c r="K10">
        <v>15</v>
      </c>
      <c r="L10">
        <v>6</v>
      </c>
    </row>
    <row r="11" spans="1:12">
      <c r="A11">
        <f t="shared" si="3"/>
        <v>9</v>
      </c>
      <c r="B11" t="s">
        <v>22</v>
      </c>
      <c r="C11">
        <v>8</v>
      </c>
      <c r="D11" s="10">
        <f>VLOOKUP(B11,Size!A10:$D$36,4,FALSE)</f>
        <v>0.77760000000000007</v>
      </c>
      <c r="E11" s="10">
        <f t="shared" si="1"/>
        <v>10.288065843621398</v>
      </c>
      <c r="F11">
        <f t="shared" si="0"/>
        <v>5</v>
      </c>
      <c r="G11">
        <f t="shared" si="2"/>
        <v>0</v>
      </c>
      <c r="K11">
        <v>20</v>
      </c>
      <c r="L11">
        <v>7</v>
      </c>
    </row>
    <row r="12" spans="1:12">
      <c r="A12">
        <f t="shared" si="3"/>
        <v>10</v>
      </c>
      <c r="B12" t="s">
        <v>23</v>
      </c>
      <c r="C12">
        <v>11</v>
      </c>
      <c r="D12" s="10">
        <f>VLOOKUP(B12,Size!A11:$D$36,4,FALSE)</f>
        <v>2.1168</v>
      </c>
      <c r="E12" s="10">
        <f t="shared" si="1"/>
        <v>5.1965230536659108</v>
      </c>
      <c r="F12">
        <f t="shared" si="0"/>
        <v>2</v>
      </c>
      <c r="G12">
        <f t="shared" si="2"/>
        <v>0</v>
      </c>
      <c r="K12">
        <v>25</v>
      </c>
      <c r="L12">
        <v>8</v>
      </c>
    </row>
    <row r="13" spans="1:12">
      <c r="A13">
        <f t="shared" si="3"/>
        <v>11</v>
      </c>
      <c r="B13" t="s">
        <v>25</v>
      </c>
      <c r="C13">
        <v>32</v>
      </c>
      <c r="D13" s="10">
        <f>VLOOKUP(B13,Size!A12:$D$36,4,FALSE)</f>
        <v>6.8040000000000012</v>
      </c>
      <c r="E13" s="10">
        <f t="shared" si="1"/>
        <v>4.7031158142269245</v>
      </c>
      <c r="F13">
        <f t="shared" si="0"/>
        <v>2</v>
      </c>
      <c r="G13">
        <f t="shared" si="2"/>
        <v>0</v>
      </c>
      <c r="K13">
        <v>35</v>
      </c>
      <c r="L13">
        <v>9</v>
      </c>
    </row>
    <row r="14" spans="1:12">
      <c r="A14">
        <f t="shared" si="3"/>
        <v>12</v>
      </c>
      <c r="B14" t="s">
        <v>27</v>
      </c>
      <c r="C14">
        <v>8</v>
      </c>
      <c r="D14" s="10">
        <f>VLOOKUP(B14,Size!A13:$D$36,4,FALSE)</f>
        <v>0.43200000000000005</v>
      </c>
      <c r="E14" s="10">
        <f t="shared" si="1"/>
        <v>18.518518518518515</v>
      </c>
      <c r="F14">
        <f t="shared" si="0"/>
        <v>6</v>
      </c>
      <c r="G14">
        <f t="shared" si="2"/>
        <v>0</v>
      </c>
      <c r="K14">
        <v>50</v>
      </c>
      <c r="L14">
        <v>10</v>
      </c>
    </row>
    <row r="15" spans="1:12">
      <c r="A15">
        <f t="shared" si="3"/>
        <v>13</v>
      </c>
      <c r="B15" t="s">
        <v>28</v>
      </c>
      <c r="C15">
        <v>7</v>
      </c>
      <c r="D15" s="10">
        <f>VLOOKUP(B15,Size!A14:$D$36,4,FALSE)</f>
        <v>0.64800000000000013</v>
      </c>
      <c r="E15" s="10">
        <f t="shared" si="1"/>
        <v>10.802469135802466</v>
      </c>
      <c r="F15">
        <f t="shared" si="0"/>
        <v>5</v>
      </c>
      <c r="G15">
        <f t="shared" si="2"/>
        <v>0</v>
      </c>
    </row>
    <row r="16" spans="1:12">
      <c r="A16">
        <f t="shared" si="3"/>
        <v>14</v>
      </c>
      <c r="B16" t="s">
        <v>29</v>
      </c>
      <c r="C16">
        <v>1</v>
      </c>
      <c r="D16" s="10">
        <f>VLOOKUP(B16,Size!A15:$D$36,4,FALSE)</f>
        <v>0.10800000000000001</v>
      </c>
      <c r="E16" s="10">
        <f t="shared" si="1"/>
        <v>9.2592592592592577</v>
      </c>
      <c r="F16">
        <f t="shared" si="0"/>
        <v>4</v>
      </c>
      <c r="G16">
        <f t="shared" si="2"/>
        <v>0</v>
      </c>
    </row>
    <row r="17" spans="1:7">
      <c r="A17">
        <f t="shared" si="3"/>
        <v>15</v>
      </c>
      <c r="B17" t="s">
        <v>61</v>
      </c>
      <c r="C17">
        <v>5</v>
      </c>
      <c r="D17" s="10">
        <f>VLOOKUP(B17,Size!A16:$D$36,4,FALSE)</f>
        <v>0.21600000000000003</v>
      </c>
      <c r="E17" s="10">
        <f t="shared" si="1"/>
        <v>23.148148148148145</v>
      </c>
      <c r="F17">
        <f t="shared" si="0"/>
        <v>7</v>
      </c>
      <c r="G17">
        <f t="shared" si="2"/>
        <v>0</v>
      </c>
    </row>
    <row r="18" spans="1:7">
      <c r="A18">
        <f t="shared" si="3"/>
        <v>16</v>
      </c>
      <c r="B18" t="s">
        <v>31</v>
      </c>
      <c r="C18">
        <v>19</v>
      </c>
      <c r="D18" s="10">
        <f>VLOOKUP(B18,Size!A17:$D$36,4,FALSE)</f>
        <v>0.90720000000000001</v>
      </c>
      <c r="E18" s="10">
        <f t="shared" si="1"/>
        <v>20.943562610229275</v>
      </c>
      <c r="F18">
        <f t="shared" si="0"/>
        <v>7</v>
      </c>
      <c r="G18">
        <f t="shared" si="2"/>
        <v>0</v>
      </c>
    </row>
    <row r="19" spans="1:7">
      <c r="A19">
        <f t="shared" si="3"/>
        <v>17</v>
      </c>
      <c r="B19" t="s">
        <v>33</v>
      </c>
      <c r="C19" s="15">
        <v>32</v>
      </c>
      <c r="D19" s="10">
        <f>VLOOKUP(B19,Size!A18:$D$36,4,FALSE)</f>
        <v>0.43200000000000005</v>
      </c>
      <c r="E19" s="10">
        <f t="shared" si="1"/>
        <v>74.074074074074062</v>
      </c>
      <c r="F19">
        <f t="shared" si="0"/>
        <v>10</v>
      </c>
      <c r="G19">
        <f t="shared" si="2"/>
        <v>0</v>
      </c>
    </row>
    <row r="20" spans="1:7">
      <c r="A20">
        <f t="shared" si="3"/>
        <v>18</v>
      </c>
      <c r="B20" t="s">
        <v>34</v>
      </c>
      <c r="C20" s="15">
        <v>24</v>
      </c>
      <c r="D20" s="10">
        <f>VLOOKUP(B20,Size!A19:$D$36,4,FALSE)</f>
        <v>2.5920000000000005</v>
      </c>
      <c r="E20" s="10">
        <f t="shared" si="1"/>
        <v>9.2592592592592577</v>
      </c>
      <c r="F20">
        <f t="shared" si="0"/>
        <v>4</v>
      </c>
      <c r="G20">
        <f t="shared" si="2"/>
        <v>0</v>
      </c>
    </row>
    <row r="21" spans="1:7">
      <c r="A21">
        <f t="shared" si="3"/>
        <v>19</v>
      </c>
      <c r="B21" t="s">
        <v>35</v>
      </c>
      <c r="C21" s="15">
        <v>42</v>
      </c>
      <c r="D21" s="10">
        <f>VLOOKUP(B21,Size!A20:$D$36,4,FALSE)</f>
        <v>1.5552000000000001</v>
      </c>
      <c r="E21" s="10">
        <f t="shared" si="1"/>
        <v>27.006172839506171</v>
      </c>
      <c r="F21">
        <f t="shared" si="0"/>
        <v>8</v>
      </c>
      <c r="G21">
        <f t="shared" si="2"/>
        <v>0</v>
      </c>
    </row>
    <row r="22" spans="1:7">
      <c r="A22">
        <f t="shared" si="3"/>
        <v>20</v>
      </c>
      <c r="B22" t="s">
        <v>36</v>
      </c>
      <c r="C22" s="15">
        <v>40</v>
      </c>
      <c r="D22" s="10">
        <f>VLOOKUP(B22,Size!A21:$D$36,4,FALSE)</f>
        <v>2.16</v>
      </c>
      <c r="E22" s="10">
        <f t="shared" si="1"/>
        <v>18.518518518518519</v>
      </c>
      <c r="F22">
        <f t="shared" si="0"/>
        <v>6</v>
      </c>
      <c r="G22">
        <f t="shared" si="2"/>
        <v>0</v>
      </c>
    </row>
    <row r="23" spans="1:7">
      <c r="A23">
        <f t="shared" si="3"/>
        <v>21</v>
      </c>
      <c r="B23" t="s">
        <v>37</v>
      </c>
      <c r="C23">
        <v>3</v>
      </c>
      <c r="D23" s="10">
        <f>VLOOKUP(B23,Size!A22:$D$36,4,FALSE)</f>
        <v>0.64800000000000013</v>
      </c>
      <c r="E23" s="10">
        <f t="shared" si="1"/>
        <v>4.6296296296296289</v>
      </c>
      <c r="F23">
        <f t="shared" si="0"/>
        <v>2</v>
      </c>
      <c r="G23">
        <f t="shared" si="2"/>
        <v>0</v>
      </c>
    </row>
    <row r="24" spans="1:7">
      <c r="A24">
        <f t="shared" si="3"/>
        <v>22</v>
      </c>
      <c r="B24" t="s">
        <v>38</v>
      </c>
      <c r="C24">
        <v>8</v>
      </c>
      <c r="D24" s="10">
        <f>VLOOKUP(B24,Size!A23:$D$36,4,FALSE)</f>
        <v>0.84240000000000015</v>
      </c>
      <c r="E24" s="10">
        <f t="shared" si="1"/>
        <v>9.496676163342828</v>
      </c>
      <c r="F24">
        <f t="shared" si="0"/>
        <v>4</v>
      </c>
      <c r="G24">
        <f t="shared" si="2"/>
        <v>0</v>
      </c>
    </row>
    <row r="25" spans="1:7">
      <c r="A25">
        <f t="shared" si="3"/>
        <v>23</v>
      </c>
      <c r="B25" t="s">
        <v>39</v>
      </c>
      <c r="C25">
        <v>2</v>
      </c>
      <c r="D25" s="10">
        <f>VLOOKUP(B25,Size!A24:$D$36,4,FALSE)</f>
        <v>0.34560000000000002</v>
      </c>
      <c r="E25" s="10">
        <f t="shared" si="1"/>
        <v>5.7870370370370363</v>
      </c>
      <c r="F25">
        <f t="shared" si="0"/>
        <v>2</v>
      </c>
      <c r="G25">
        <f t="shared" si="2"/>
        <v>0</v>
      </c>
    </row>
    <row r="26" spans="1:7">
      <c r="A26">
        <f t="shared" si="3"/>
        <v>24</v>
      </c>
      <c r="B26" t="s">
        <v>52</v>
      </c>
      <c r="C26">
        <v>0</v>
      </c>
      <c r="D26" s="10">
        <f>VLOOKUP(B26,Size!A25:$D$36,4,FALSE)</f>
        <v>6.480000000000001E-2</v>
      </c>
      <c r="E26" s="10">
        <f t="shared" si="1"/>
        <v>0</v>
      </c>
      <c r="F26">
        <f t="shared" si="0"/>
        <v>0</v>
      </c>
      <c r="G26">
        <f t="shared" si="2"/>
        <v>0</v>
      </c>
    </row>
    <row r="27" spans="1:7">
      <c r="A27">
        <f t="shared" si="3"/>
        <v>25</v>
      </c>
      <c r="B27" t="s">
        <v>40</v>
      </c>
      <c r="C27">
        <v>0</v>
      </c>
      <c r="D27" s="10">
        <f>VLOOKUP(B27,Size!A26:$D$36,4,FALSE)</f>
        <v>0.72260999999999997</v>
      </c>
      <c r="E27" s="10">
        <f t="shared" si="1"/>
        <v>0</v>
      </c>
      <c r="F27">
        <f t="shared" si="0"/>
        <v>0</v>
      </c>
      <c r="G27">
        <f t="shared" si="2"/>
        <v>0</v>
      </c>
    </row>
    <row r="28" spans="1:7">
      <c r="A28">
        <f t="shared" si="3"/>
        <v>26</v>
      </c>
      <c r="B28" t="s">
        <v>41</v>
      </c>
      <c r="C28">
        <v>6</v>
      </c>
      <c r="D28" s="10">
        <f>VLOOKUP(B28,Size!A27:$D$36,4,FALSE)</f>
        <v>0.51840000000000008</v>
      </c>
      <c r="E28" s="10">
        <f t="shared" si="1"/>
        <v>11.574074074074073</v>
      </c>
      <c r="F28">
        <f t="shared" si="0"/>
        <v>5</v>
      </c>
      <c r="G28">
        <f t="shared" si="2"/>
        <v>0</v>
      </c>
    </row>
    <row r="29" spans="1:7">
      <c r="A29">
        <f t="shared" si="3"/>
        <v>27</v>
      </c>
      <c r="B29" t="s">
        <v>53</v>
      </c>
      <c r="C29">
        <v>3</v>
      </c>
      <c r="D29" s="10">
        <f>VLOOKUP(B29,Size!A28:$D$36,4,FALSE)</f>
        <v>0.38880000000000003</v>
      </c>
      <c r="E29" s="10">
        <f t="shared" si="1"/>
        <v>7.716049382716049</v>
      </c>
      <c r="F29">
        <f t="shared" si="0"/>
        <v>3</v>
      </c>
      <c r="G29">
        <f t="shared" si="2"/>
        <v>0</v>
      </c>
    </row>
    <row r="30" spans="1:7">
      <c r="A30">
        <f t="shared" si="3"/>
        <v>28</v>
      </c>
      <c r="B30" t="s">
        <v>42</v>
      </c>
      <c r="C30">
        <v>0</v>
      </c>
      <c r="D30" s="10">
        <f>VLOOKUP(B30,Size!A29:$D$36,4,FALSE)</f>
        <v>6.480000000000001E-2</v>
      </c>
      <c r="E30" s="10">
        <f t="shared" si="1"/>
        <v>0</v>
      </c>
      <c r="F30">
        <f t="shared" si="0"/>
        <v>0</v>
      </c>
      <c r="G30">
        <f t="shared" si="2"/>
        <v>0</v>
      </c>
    </row>
    <row r="31" spans="1:7">
      <c r="A31">
        <f t="shared" si="3"/>
        <v>29</v>
      </c>
      <c r="B31" t="s">
        <v>43</v>
      </c>
      <c r="C31">
        <v>6</v>
      </c>
      <c r="D31" s="10">
        <f>VLOOKUP(B31,Size!A30:$D$36,4,FALSE)</f>
        <v>0.47520000000000007</v>
      </c>
      <c r="E31" s="10">
        <f t="shared" si="1"/>
        <v>12.626262626262625</v>
      </c>
      <c r="F31">
        <f t="shared" si="0"/>
        <v>5</v>
      </c>
      <c r="G31">
        <f t="shared" si="2"/>
        <v>0</v>
      </c>
    </row>
    <row r="32" spans="1:7">
      <c r="A32">
        <f t="shared" si="3"/>
        <v>30</v>
      </c>
      <c r="B32" t="s">
        <v>44</v>
      </c>
      <c r="C32">
        <v>4</v>
      </c>
      <c r="D32" s="10">
        <f>VLOOKUP(B32,Size!A31:$D$36,4,FALSE)</f>
        <v>0.8640000000000001</v>
      </c>
      <c r="E32" s="10">
        <f t="shared" si="1"/>
        <v>4.6296296296296289</v>
      </c>
      <c r="F32">
        <f t="shared" si="0"/>
        <v>2</v>
      </c>
      <c r="G32">
        <f t="shared" si="2"/>
        <v>0</v>
      </c>
    </row>
    <row r="33" spans="1:7">
      <c r="A33">
        <f t="shared" si="3"/>
        <v>31</v>
      </c>
      <c r="B33" t="s">
        <v>46</v>
      </c>
      <c r="C33">
        <v>4</v>
      </c>
      <c r="D33" s="10">
        <f>VLOOKUP(B33,Size!A32:$D$36,4,FALSE)</f>
        <v>6.480000000000001E-2</v>
      </c>
      <c r="E33" s="10">
        <f t="shared" si="1"/>
        <v>61.728395061728385</v>
      </c>
      <c r="F33">
        <f t="shared" si="0"/>
        <v>10</v>
      </c>
      <c r="G33">
        <f t="shared" si="2"/>
        <v>0</v>
      </c>
    </row>
    <row r="34" spans="1:7">
      <c r="A34">
        <f t="shared" si="3"/>
        <v>32</v>
      </c>
      <c r="B34" t="s">
        <v>47</v>
      </c>
      <c r="C34">
        <v>37</v>
      </c>
      <c r="D34" s="10">
        <f>VLOOKUP(B34,Size!A33:$D$36,4,FALSE)</f>
        <v>4.7952000000000004</v>
      </c>
      <c r="E34" s="10">
        <f t="shared" si="1"/>
        <v>7.716049382716049</v>
      </c>
      <c r="F34">
        <f t="shared" si="0"/>
        <v>3</v>
      </c>
      <c r="G34">
        <f t="shared" si="2"/>
        <v>0</v>
      </c>
    </row>
    <row r="35" spans="1:7">
      <c r="A35">
        <f t="shared" si="3"/>
        <v>33</v>
      </c>
      <c r="B35" t="s">
        <v>62</v>
      </c>
      <c r="C35">
        <v>24</v>
      </c>
      <c r="D35" s="10">
        <f>VLOOKUP(B35,Size!A34:$D$36,4,FALSE)</f>
        <v>4.4064000000000005</v>
      </c>
      <c r="E35" s="10">
        <f t="shared" si="1"/>
        <v>5.4466230936819162</v>
      </c>
      <c r="F35">
        <f t="shared" si="0"/>
        <v>2</v>
      </c>
      <c r="G35">
        <f t="shared" si="2"/>
        <v>0</v>
      </c>
    </row>
    <row r="36" spans="1:7">
      <c r="A36">
        <f t="shared" si="3"/>
        <v>34</v>
      </c>
      <c r="B36" t="s">
        <v>48</v>
      </c>
      <c r="C36">
        <v>32</v>
      </c>
      <c r="D36" s="10">
        <f>VLOOKUP(B36,Size!A35:$D$36,4,FALSE)</f>
        <v>3.8880000000000003</v>
      </c>
      <c r="E36" s="10">
        <f t="shared" si="1"/>
        <v>8.2304526748971192</v>
      </c>
      <c r="F36">
        <f t="shared" si="0"/>
        <v>4</v>
      </c>
      <c r="G36">
        <f t="shared" si="2"/>
        <v>0</v>
      </c>
    </row>
    <row r="37" spans="1:7">
      <c r="A37">
        <f t="shared" si="3"/>
        <v>35</v>
      </c>
      <c r="B37" t="s">
        <v>49</v>
      </c>
      <c r="C37">
        <v>9</v>
      </c>
      <c r="D37" s="10">
        <f>VLOOKUP(B37,Size!A36:$D$36,4,FALSE)</f>
        <v>1.5120000000000002</v>
      </c>
      <c r="E37" s="10">
        <f t="shared" si="1"/>
        <v>5.9523809523809517</v>
      </c>
      <c r="F37">
        <f t="shared" si="0"/>
        <v>2</v>
      </c>
      <c r="G37">
        <f t="shared" si="2"/>
        <v>0</v>
      </c>
    </row>
    <row r="39" spans="1:7">
      <c r="A39">
        <f>OBJ!C2</f>
        <v>5</v>
      </c>
      <c r="B39" t="str">
        <f>OBJ!B2</f>
        <v>East Village</v>
      </c>
      <c r="C39">
        <f>VLOOKUP(B39,B3:F37,5,FALSE)</f>
        <v>5</v>
      </c>
      <c r="D39">
        <f>C39*G1</f>
        <v>0</v>
      </c>
    </row>
    <row r="41" spans="1:7">
      <c r="B41" t="s">
        <v>92</v>
      </c>
    </row>
    <row r="42" spans="1:7">
      <c r="B42" s="9" t="s">
        <v>93</v>
      </c>
    </row>
    <row r="43" spans="1:7">
      <c r="B43" s="9" t="s">
        <v>94</v>
      </c>
    </row>
  </sheetData>
  <phoneticPr fontId="1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39"/>
  <sheetViews>
    <sheetView workbookViewId="0">
      <selection activeCell="L4" sqref="L4:M15"/>
    </sheetView>
  </sheetViews>
  <sheetFormatPr defaultRowHeight="15"/>
  <cols>
    <col min="2" max="2" width="27.42578125" bestFit="1" customWidth="1"/>
  </cols>
  <sheetData>
    <row r="1" spans="1:13">
      <c r="G1">
        <f>Inputs!B17</f>
        <v>0</v>
      </c>
    </row>
    <row r="2" spans="1:13">
      <c r="C2" t="s">
        <v>91</v>
      </c>
      <c r="D2" t="s">
        <v>99</v>
      </c>
      <c r="E2" t="s">
        <v>100</v>
      </c>
      <c r="F2" t="s">
        <v>289</v>
      </c>
      <c r="G2" t="s">
        <v>88</v>
      </c>
    </row>
    <row r="3" spans="1:13">
      <c r="A3">
        <v>1</v>
      </c>
      <c r="B3" t="s">
        <v>11</v>
      </c>
      <c r="C3">
        <v>5</v>
      </c>
      <c r="D3" s="10">
        <f>VLOOKUP(B3,Size!A2:$D$36,4,FALSE)</f>
        <v>0.4</v>
      </c>
      <c r="E3" s="10">
        <f>C3/D3</f>
        <v>12.5</v>
      </c>
      <c r="F3">
        <f t="shared" ref="F3:F37" si="0">VLOOKUP(E3,$L$5:$M$15,2,TRUE)</f>
        <v>7</v>
      </c>
      <c r="G3">
        <f>F3*$G$1</f>
        <v>0</v>
      </c>
    </row>
    <row r="4" spans="1:13">
      <c r="A4">
        <f>+A3+1</f>
        <v>2</v>
      </c>
      <c r="B4" t="s">
        <v>13</v>
      </c>
      <c r="C4">
        <v>20</v>
      </c>
      <c r="D4" s="10">
        <f>VLOOKUP(B4,Size!A3:$D$36,4,FALSE)</f>
        <v>2.5920000000000005</v>
      </c>
      <c r="E4" s="10">
        <f t="shared" ref="E4:E37" si="1">C4/D4</f>
        <v>7.7160493827160481</v>
      </c>
      <c r="F4">
        <f t="shared" si="0"/>
        <v>5</v>
      </c>
      <c r="G4">
        <f t="shared" ref="G4:G37" si="2">F4*$G$1</f>
        <v>0</v>
      </c>
      <c r="L4" t="s">
        <v>100</v>
      </c>
      <c r="M4" t="s">
        <v>88</v>
      </c>
    </row>
    <row r="5" spans="1:13">
      <c r="A5">
        <f t="shared" ref="A5:A37" si="3">+A4+1</f>
        <v>3</v>
      </c>
      <c r="B5" t="s">
        <v>14</v>
      </c>
      <c r="C5">
        <v>10</v>
      </c>
      <c r="D5" s="10">
        <f>VLOOKUP(B5,Size!A4:$D$36,4,FALSE)</f>
        <v>0.38880000000000003</v>
      </c>
      <c r="E5" s="10">
        <f t="shared" si="1"/>
        <v>25.720164609053494</v>
      </c>
      <c r="F5">
        <f t="shared" si="0"/>
        <v>8</v>
      </c>
      <c r="G5">
        <f t="shared" si="2"/>
        <v>0</v>
      </c>
      <c r="L5">
        <v>0</v>
      </c>
      <c r="M5">
        <v>0</v>
      </c>
    </row>
    <row r="6" spans="1:13">
      <c r="A6">
        <f t="shared" si="3"/>
        <v>4</v>
      </c>
      <c r="B6" t="s">
        <v>17</v>
      </c>
      <c r="C6">
        <v>3</v>
      </c>
      <c r="D6" s="10">
        <f>VLOOKUP(B6,Size!A5:$D$36,4,FALSE)</f>
        <v>5.5944000000000003</v>
      </c>
      <c r="E6" s="10">
        <f t="shared" si="1"/>
        <v>0.5362505362505362</v>
      </c>
      <c r="F6">
        <f t="shared" si="0"/>
        <v>0</v>
      </c>
      <c r="G6">
        <f t="shared" si="2"/>
        <v>0</v>
      </c>
      <c r="L6">
        <v>2</v>
      </c>
      <c r="M6">
        <v>1</v>
      </c>
    </row>
    <row r="7" spans="1:13">
      <c r="A7">
        <f t="shared" si="3"/>
        <v>5</v>
      </c>
      <c r="B7" t="s">
        <v>18</v>
      </c>
      <c r="C7">
        <v>15</v>
      </c>
      <c r="D7" s="10">
        <f>VLOOKUP(B7,Size!A6:$D$36,4,FALSE)</f>
        <v>2.1168</v>
      </c>
      <c r="E7" s="10">
        <f t="shared" si="1"/>
        <v>7.0861678004535147</v>
      </c>
      <c r="F7">
        <f t="shared" si="0"/>
        <v>5</v>
      </c>
      <c r="G7">
        <f t="shared" si="2"/>
        <v>0</v>
      </c>
      <c r="L7">
        <v>3</v>
      </c>
      <c r="M7">
        <v>2</v>
      </c>
    </row>
    <row r="8" spans="1:13">
      <c r="A8">
        <f t="shared" si="3"/>
        <v>6</v>
      </c>
      <c r="B8" t="s">
        <v>19</v>
      </c>
      <c r="C8">
        <v>21</v>
      </c>
      <c r="D8" s="10">
        <f>VLOOKUP(B8,Size!A7:$D$36,4,FALSE)</f>
        <v>0.64800000000000013</v>
      </c>
      <c r="E8" s="10">
        <f t="shared" si="1"/>
        <v>32.407407407407398</v>
      </c>
      <c r="F8">
        <f t="shared" si="0"/>
        <v>8</v>
      </c>
      <c r="G8">
        <f t="shared" si="2"/>
        <v>0</v>
      </c>
      <c r="L8">
        <v>4</v>
      </c>
      <c r="M8">
        <v>3</v>
      </c>
    </row>
    <row r="9" spans="1:13">
      <c r="A9">
        <f t="shared" si="3"/>
        <v>7</v>
      </c>
      <c r="B9" t="s">
        <v>20</v>
      </c>
      <c r="C9">
        <v>46</v>
      </c>
      <c r="D9" s="10">
        <f>VLOOKUP(B9,Size!A8:$D$36,4,FALSE)</f>
        <v>0.47520000000000007</v>
      </c>
      <c r="E9" s="10">
        <f t="shared" si="1"/>
        <v>96.801346801346781</v>
      </c>
      <c r="F9">
        <f t="shared" si="0"/>
        <v>9</v>
      </c>
      <c r="G9">
        <f t="shared" si="2"/>
        <v>0</v>
      </c>
      <c r="L9">
        <v>5</v>
      </c>
      <c r="M9">
        <v>4</v>
      </c>
    </row>
    <row r="10" spans="1:13">
      <c r="A10">
        <f t="shared" si="3"/>
        <v>8</v>
      </c>
      <c r="B10" t="s">
        <v>21</v>
      </c>
      <c r="C10">
        <v>32</v>
      </c>
      <c r="D10" s="10">
        <f>VLOOKUP(B10,Size!A9:$D$36,4,FALSE)</f>
        <v>0.69120000000000004</v>
      </c>
      <c r="E10" s="10">
        <f t="shared" si="1"/>
        <v>46.296296296296291</v>
      </c>
      <c r="F10">
        <f t="shared" si="0"/>
        <v>8</v>
      </c>
      <c r="G10">
        <f t="shared" si="2"/>
        <v>0</v>
      </c>
      <c r="L10">
        <v>6</v>
      </c>
      <c r="M10">
        <v>5</v>
      </c>
    </row>
    <row r="11" spans="1:13">
      <c r="A11">
        <f t="shared" si="3"/>
        <v>9</v>
      </c>
      <c r="B11" t="s">
        <v>22</v>
      </c>
      <c r="C11">
        <v>13</v>
      </c>
      <c r="D11" s="10">
        <f>VLOOKUP(B11,Size!A10:$D$36,4,FALSE)</f>
        <v>0.77760000000000007</v>
      </c>
      <c r="E11" s="10">
        <f t="shared" si="1"/>
        <v>16.718106995884771</v>
      </c>
      <c r="F11">
        <f t="shared" si="0"/>
        <v>7</v>
      </c>
      <c r="G11">
        <f t="shared" si="2"/>
        <v>0</v>
      </c>
      <c r="L11">
        <v>8</v>
      </c>
      <c r="M11">
        <v>6</v>
      </c>
    </row>
    <row r="12" spans="1:13">
      <c r="A12">
        <f t="shared" si="3"/>
        <v>10</v>
      </c>
      <c r="B12" t="s">
        <v>23</v>
      </c>
      <c r="C12">
        <v>26</v>
      </c>
      <c r="D12" s="10">
        <f>VLOOKUP(B12,Size!A11:$D$36,4,FALSE)</f>
        <v>2.1168</v>
      </c>
      <c r="E12" s="10">
        <f t="shared" si="1"/>
        <v>12.282690854119425</v>
      </c>
      <c r="F12">
        <f t="shared" si="0"/>
        <v>7</v>
      </c>
      <c r="G12">
        <f t="shared" si="2"/>
        <v>0</v>
      </c>
      <c r="L12">
        <v>10</v>
      </c>
      <c r="M12">
        <v>7</v>
      </c>
    </row>
    <row r="13" spans="1:13">
      <c r="A13">
        <f t="shared" si="3"/>
        <v>11</v>
      </c>
      <c r="B13" t="s">
        <v>25</v>
      </c>
      <c r="C13">
        <v>14</v>
      </c>
      <c r="D13" s="10">
        <f>VLOOKUP(B13,Size!A12:$D$36,4,FALSE)</f>
        <v>6.8040000000000012</v>
      </c>
      <c r="E13" s="10">
        <f t="shared" si="1"/>
        <v>2.0576131687242794</v>
      </c>
      <c r="F13">
        <f t="shared" si="0"/>
        <v>1</v>
      </c>
      <c r="G13">
        <f t="shared" si="2"/>
        <v>0</v>
      </c>
      <c r="L13">
        <v>20</v>
      </c>
      <c r="M13">
        <v>8</v>
      </c>
    </row>
    <row r="14" spans="1:13">
      <c r="A14">
        <f t="shared" si="3"/>
        <v>12</v>
      </c>
      <c r="B14" t="s">
        <v>27</v>
      </c>
      <c r="C14">
        <v>3</v>
      </c>
      <c r="D14" s="10">
        <f>VLOOKUP(B14,Size!A13:$D$36,4,FALSE)</f>
        <v>0.43200000000000005</v>
      </c>
      <c r="E14" s="10">
        <f t="shared" si="1"/>
        <v>6.9444444444444438</v>
      </c>
      <c r="F14">
        <f t="shared" si="0"/>
        <v>5</v>
      </c>
      <c r="G14">
        <f t="shared" si="2"/>
        <v>0</v>
      </c>
      <c r="L14">
        <v>50</v>
      </c>
      <c r="M14">
        <v>9</v>
      </c>
    </row>
    <row r="15" spans="1:13">
      <c r="A15">
        <f t="shared" si="3"/>
        <v>13</v>
      </c>
      <c r="B15" t="s">
        <v>28</v>
      </c>
      <c r="C15">
        <v>15</v>
      </c>
      <c r="D15" s="10">
        <f>VLOOKUP(B15,Size!A14:$D$36,4,FALSE)</f>
        <v>0.64800000000000013</v>
      </c>
      <c r="E15" s="10">
        <f t="shared" si="1"/>
        <v>23.148148148148142</v>
      </c>
      <c r="F15">
        <f t="shared" si="0"/>
        <v>8</v>
      </c>
      <c r="G15">
        <f t="shared" si="2"/>
        <v>0</v>
      </c>
      <c r="L15">
        <v>200</v>
      </c>
      <c r="M15">
        <v>10</v>
      </c>
    </row>
    <row r="16" spans="1:13">
      <c r="A16">
        <f t="shared" si="3"/>
        <v>14</v>
      </c>
      <c r="B16" t="s">
        <v>29</v>
      </c>
      <c r="C16">
        <v>1</v>
      </c>
      <c r="D16" s="10">
        <f>VLOOKUP(B16,Size!A15:$D$36,4,FALSE)</f>
        <v>0.10800000000000001</v>
      </c>
      <c r="E16" s="10">
        <f t="shared" si="1"/>
        <v>9.2592592592592577</v>
      </c>
      <c r="F16">
        <f t="shared" si="0"/>
        <v>6</v>
      </c>
      <c r="G16">
        <f t="shared" si="2"/>
        <v>0</v>
      </c>
    </row>
    <row r="17" spans="1:7">
      <c r="A17">
        <f t="shared" si="3"/>
        <v>15</v>
      </c>
      <c r="B17" t="s">
        <v>61</v>
      </c>
      <c r="C17">
        <v>1</v>
      </c>
      <c r="D17" s="10">
        <f>VLOOKUP(B17,Size!A16:$D$36,4,FALSE)</f>
        <v>0.21600000000000003</v>
      </c>
      <c r="E17" s="10">
        <f t="shared" si="1"/>
        <v>4.6296296296296289</v>
      </c>
      <c r="F17">
        <f t="shared" si="0"/>
        <v>3</v>
      </c>
      <c r="G17">
        <f t="shared" si="2"/>
        <v>0</v>
      </c>
    </row>
    <row r="18" spans="1:7">
      <c r="A18">
        <f t="shared" si="3"/>
        <v>16</v>
      </c>
      <c r="B18" t="s">
        <v>31</v>
      </c>
      <c r="C18">
        <v>4</v>
      </c>
      <c r="D18" s="10">
        <f>VLOOKUP(B18,Size!A17:$D$36,4,FALSE)</f>
        <v>0.90720000000000001</v>
      </c>
      <c r="E18" s="10">
        <f t="shared" si="1"/>
        <v>4.409171075837742</v>
      </c>
      <c r="F18">
        <f t="shared" si="0"/>
        <v>3</v>
      </c>
      <c r="G18">
        <f t="shared" si="2"/>
        <v>0</v>
      </c>
    </row>
    <row r="19" spans="1:7">
      <c r="A19">
        <f t="shared" si="3"/>
        <v>17</v>
      </c>
      <c r="B19" t="s">
        <v>33</v>
      </c>
      <c r="C19">
        <v>54</v>
      </c>
      <c r="D19" s="10">
        <f>VLOOKUP(B19,Size!A18:$D$36,4,FALSE)</f>
        <v>0.43200000000000005</v>
      </c>
      <c r="E19" s="10">
        <f t="shared" si="1"/>
        <v>124.99999999999999</v>
      </c>
      <c r="F19">
        <f t="shared" si="0"/>
        <v>9</v>
      </c>
      <c r="G19">
        <f t="shared" si="2"/>
        <v>0</v>
      </c>
    </row>
    <row r="20" spans="1:7">
      <c r="A20">
        <f t="shared" si="3"/>
        <v>18</v>
      </c>
      <c r="B20" t="s">
        <v>34</v>
      </c>
      <c r="C20">
        <v>40</v>
      </c>
      <c r="D20" s="10">
        <f>VLOOKUP(B20,Size!A19:$D$36,4,FALSE)</f>
        <v>2.5920000000000005</v>
      </c>
      <c r="E20" s="10">
        <f t="shared" si="1"/>
        <v>15.432098765432096</v>
      </c>
      <c r="F20">
        <f t="shared" si="0"/>
        <v>7</v>
      </c>
      <c r="G20">
        <f t="shared" si="2"/>
        <v>0</v>
      </c>
    </row>
    <row r="21" spans="1:7">
      <c r="A21">
        <f t="shared" si="3"/>
        <v>19</v>
      </c>
      <c r="B21" t="s">
        <v>35</v>
      </c>
      <c r="C21">
        <v>27</v>
      </c>
      <c r="D21" s="10">
        <f>VLOOKUP(B21,Size!A20:$D$36,4,FALSE)</f>
        <v>1.5552000000000001</v>
      </c>
      <c r="E21" s="10">
        <f t="shared" si="1"/>
        <v>17.361111111111111</v>
      </c>
      <c r="F21">
        <f t="shared" si="0"/>
        <v>7</v>
      </c>
      <c r="G21">
        <f t="shared" si="2"/>
        <v>0</v>
      </c>
    </row>
    <row r="22" spans="1:7">
      <c r="A22">
        <f t="shared" si="3"/>
        <v>20</v>
      </c>
      <c r="B22" t="s">
        <v>36</v>
      </c>
      <c r="C22">
        <v>15</v>
      </c>
      <c r="D22" s="10">
        <f>VLOOKUP(B22,Size!A21:$D$36,4,FALSE)</f>
        <v>2.16</v>
      </c>
      <c r="E22" s="10">
        <f t="shared" si="1"/>
        <v>6.9444444444444438</v>
      </c>
      <c r="F22">
        <f t="shared" si="0"/>
        <v>5</v>
      </c>
      <c r="G22">
        <f t="shared" si="2"/>
        <v>0</v>
      </c>
    </row>
    <row r="23" spans="1:7">
      <c r="A23">
        <f t="shared" si="3"/>
        <v>21</v>
      </c>
      <c r="B23" t="s">
        <v>37</v>
      </c>
      <c r="C23">
        <v>11</v>
      </c>
      <c r="D23" s="10">
        <f>VLOOKUP(B23,Size!A22:$D$36,4,FALSE)</f>
        <v>0.64800000000000013</v>
      </c>
      <c r="E23" s="10">
        <f t="shared" si="1"/>
        <v>16.975308641975307</v>
      </c>
      <c r="F23">
        <f t="shared" si="0"/>
        <v>7</v>
      </c>
      <c r="G23">
        <f t="shared" si="2"/>
        <v>0</v>
      </c>
    </row>
    <row r="24" spans="1:7">
      <c r="A24">
        <f t="shared" si="3"/>
        <v>22</v>
      </c>
      <c r="B24" t="s">
        <v>38</v>
      </c>
      <c r="C24">
        <v>32</v>
      </c>
      <c r="D24" s="10">
        <f>VLOOKUP(B24,Size!A23:$D$36,4,FALSE)</f>
        <v>0.84240000000000015</v>
      </c>
      <c r="E24" s="10">
        <f t="shared" si="1"/>
        <v>37.986704653371312</v>
      </c>
      <c r="F24">
        <f t="shared" si="0"/>
        <v>8</v>
      </c>
      <c r="G24">
        <f t="shared" si="2"/>
        <v>0</v>
      </c>
    </row>
    <row r="25" spans="1:7">
      <c r="A25">
        <f t="shared" si="3"/>
        <v>23</v>
      </c>
      <c r="B25" t="s">
        <v>39</v>
      </c>
      <c r="C25">
        <v>3</v>
      </c>
      <c r="D25" s="10">
        <f>VLOOKUP(B25,Size!A24:$D$36,4,FALSE)</f>
        <v>0.34560000000000002</v>
      </c>
      <c r="E25" s="10">
        <f t="shared" si="1"/>
        <v>8.6805555555555554</v>
      </c>
      <c r="F25">
        <f t="shared" si="0"/>
        <v>6</v>
      </c>
      <c r="G25">
        <f t="shared" si="2"/>
        <v>0</v>
      </c>
    </row>
    <row r="26" spans="1:7">
      <c r="A26">
        <f t="shared" si="3"/>
        <v>24</v>
      </c>
      <c r="B26" t="s">
        <v>52</v>
      </c>
      <c r="C26">
        <v>1</v>
      </c>
      <c r="D26" s="10">
        <f>VLOOKUP(B26,Size!A25:$D$36,4,FALSE)</f>
        <v>6.480000000000001E-2</v>
      </c>
      <c r="E26" s="10">
        <f t="shared" si="1"/>
        <v>15.432098765432096</v>
      </c>
      <c r="F26">
        <f t="shared" si="0"/>
        <v>7</v>
      </c>
      <c r="G26">
        <f t="shared" si="2"/>
        <v>0</v>
      </c>
    </row>
    <row r="27" spans="1:7">
      <c r="A27">
        <f t="shared" si="3"/>
        <v>25</v>
      </c>
      <c r="B27" t="s">
        <v>40</v>
      </c>
      <c r="C27">
        <v>1</v>
      </c>
      <c r="D27" s="10">
        <f>VLOOKUP(B27,Size!A26:$D$36,4,FALSE)</f>
        <v>0.72260999999999997</v>
      </c>
      <c r="E27" s="10">
        <f t="shared" si="1"/>
        <v>1.3838723516142872</v>
      </c>
      <c r="F27">
        <f t="shared" si="0"/>
        <v>0</v>
      </c>
      <c r="G27">
        <f t="shared" si="2"/>
        <v>0</v>
      </c>
    </row>
    <row r="28" spans="1:7">
      <c r="A28">
        <f t="shared" si="3"/>
        <v>26</v>
      </c>
      <c r="B28" t="s">
        <v>41</v>
      </c>
      <c r="C28">
        <v>14</v>
      </c>
      <c r="D28" s="10">
        <f>VLOOKUP(B28,Size!A27:$D$36,4,FALSE)</f>
        <v>0.51840000000000008</v>
      </c>
      <c r="E28" s="10">
        <f t="shared" si="1"/>
        <v>27.006172839506167</v>
      </c>
      <c r="F28">
        <f t="shared" si="0"/>
        <v>8</v>
      </c>
      <c r="G28">
        <f t="shared" si="2"/>
        <v>0</v>
      </c>
    </row>
    <row r="29" spans="1:7">
      <c r="A29">
        <f t="shared" si="3"/>
        <v>27</v>
      </c>
      <c r="B29" t="s">
        <v>53</v>
      </c>
      <c r="C29">
        <v>5</v>
      </c>
      <c r="D29" s="10">
        <f>VLOOKUP(B29,Size!A28:$D$36,4,FALSE)</f>
        <v>0.38880000000000003</v>
      </c>
      <c r="E29" s="10">
        <f t="shared" si="1"/>
        <v>12.860082304526747</v>
      </c>
      <c r="F29">
        <f t="shared" si="0"/>
        <v>7</v>
      </c>
      <c r="G29">
        <f t="shared" si="2"/>
        <v>0</v>
      </c>
    </row>
    <row r="30" spans="1:7">
      <c r="A30">
        <f t="shared" si="3"/>
        <v>28</v>
      </c>
      <c r="B30" t="s">
        <v>42</v>
      </c>
      <c r="C30">
        <v>0</v>
      </c>
      <c r="D30" s="10">
        <f>VLOOKUP(B30,Size!A29:$D$36,4,FALSE)</f>
        <v>6.480000000000001E-2</v>
      </c>
      <c r="E30" s="10">
        <f t="shared" si="1"/>
        <v>0</v>
      </c>
      <c r="F30">
        <f t="shared" si="0"/>
        <v>0</v>
      </c>
      <c r="G30">
        <f t="shared" si="2"/>
        <v>0</v>
      </c>
    </row>
    <row r="31" spans="1:7">
      <c r="A31">
        <f t="shared" si="3"/>
        <v>29</v>
      </c>
      <c r="B31" t="s">
        <v>43</v>
      </c>
      <c r="C31">
        <v>4</v>
      </c>
      <c r="D31" s="10">
        <f>VLOOKUP(B31,Size!A30:$D$36,4,FALSE)</f>
        <v>0.47520000000000007</v>
      </c>
      <c r="E31" s="10">
        <f t="shared" si="1"/>
        <v>8.4175084175084169</v>
      </c>
      <c r="F31">
        <f t="shared" si="0"/>
        <v>6</v>
      </c>
      <c r="G31">
        <f t="shared" si="2"/>
        <v>0</v>
      </c>
    </row>
    <row r="32" spans="1:7">
      <c r="A32">
        <f t="shared" si="3"/>
        <v>30</v>
      </c>
      <c r="B32" t="s">
        <v>44</v>
      </c>
      <c r="C32">
        <v>15</v>
      </c>
      <c r="D32" s="10">
        <f>VLOOKUP(B32,Size!A31:$D$36,4,FALSE)</f>
        <v>0.8640000000000001</v>
      </c>
      <c r="E32" s="10">
        <f t="shared" si="1"/>
        <v>17.361111111111111</v>
      </c>
      <c r="F32">
        <f t="shared" si="0"/>
        <v>7</v>
      </c>
      <c r="G32">
        <f t="shared" si="2"/>
        <v>0</v>
      </c>
    </row>
    <row r="33" spans="1:7">
      <c r="A33">
        <f t="shared" si="3"/>
        <v>31</v>
      </c>
      <c r="B33" t="s">
        <v>46</v>
      </c>
      <c r="C33">
        <v>7</v>
      </c>
      <c r="D33" s="10">
        <f>VLOOKUP(B33,Size!A32:$D$36,4,FALSE)</f>
        <v>6.480000000000001E-2</v>
      </c>
      <c r="E33" s="10">
        <f t="shared" si="1"/>
        <v>108.02469135802467</v>
      </c>
      <c r="F33">
        <f t="shared" si="0"/>
        <v>9</v>
      </c>
      <c r="G33">
        <f t="shared" si="2"/>
        <v>0</v>
      </c>
    </row>
    <row r="34" spans="1:7">
      <c r="A34">
        <f t="shared" si="3"/>
        <v>32</v>
      </c>
      <c r="B34" t="s">
        <v>47</v>
      </c>
      <c r="C34">
        <v>64</v>
      </c>
      <c r="D34" s="10">
        <f>VLOOKUP(B34,Size!A33:$D$36,4,FALSE)</f>
        <v>4.7952000000000004</v>
      </c>
      <c r="E34" s="10">
        <f t="shared" si="1"/>
        <v>13.346680013346679</v>
      </c>
      <c r="F34">
        <f t="shared" si="0"/>
        <v>7</v>
      </c>
      <c r="G34">
        <f t="shared" si="2"/>
        <v>0</v>
      </c>
    </row>
    <row r="35" spans="1:7">
      <c r="A35">
        <f t="shared" si="3"/>
        <v>33</v>
      </c>
      <c r="B35" t="s">
        <v>62</v>
      </c>
      <c r="C35">
        <v>37</v>
      </c>
      <c r="D35" s="10">
        <f>VLOOKUP(B35,Size!A34:$D$36,4,FALSE)</f>
        <v>4.4064000000000005</v>
      </c>
      <c r="E35" s="10">
        <f t="shared" si="1"/>
        <v>8.3968772694262874</v>
      </c>
      <c r="F35">
        <f t="shared" si="0"/>
        <v>6</v>
      </c>
      <c r="G35">
        <f t="shared" si="2"/>
        <v>0</v>
      </c>
    </row>
    <row r="36" spans="1:7">
      <c r="A36">
        <f t="shared" si="3"/>
        <v>34</v>
      </c>
      <c r="B36" t="s">
        <v>48</v>
      </c>
      <c r="C36">
        <v>13</v>
      </c>
      <c r="D36" s="10">
        <f>VLOOKUP(B36,Size!A35:$D$36,4,FALSE)</f>
        <v>3.8880000000000003</v>
      </c>
      <c r="E36" s="10">
        <f t="shared" si="1"/>
        <v>3.3436213991769543</v>
      </c>
      <c r="F36">
        <f t="shared" si="0"/>
        <v>2</v>
      </c>
      <c r="G36">
        <f t="shared" si="2"/>
        <v>0</v>
      </c>
    </row>
    <row r="37" spans="1:7">
      <c r="A37">
        <f t="shared" si="3"/>
        <v>35</v>
      </c>
      <c r="B37" t="s">
        <v>49</v>
      </c>
      <c r="C37">
        <v>13</v>
      </c>
      <c r="D37" s="10">
        <f>VLOOKUP(B37,Size!A36:$D$36,4,FALSE)</f>
        <v>1.5120000000000002</v>
      </c>
      <c r="E37" s="10">
        <f t="shared" si="1"/>
        <v>8.5978835978835964</v>
      </c>
      <c r="F37">
        <f t="shared" si="0"/>
        <v>6</v>
      </c>
      <c r="G37">
        <f t="shared" si="2"/>
        <v>0</v>
      </c>
    </row>
    <row r="39" spans="1:7">
      <c r="A39">
        <f>OBJ!C2</f>
        <v>5</v>
      </c>
      <c r="B39" t="str">
        <f>OBJ!B2</f>
        <v>East Village</v>
      </c>
      <c r="C39">
        <f>VLOOKUP(B39,B3:F37,5,FALSE)</f>
        <v>5</v>
      </c>
      <c r="D39">
        <f>C39*G1</f>
        <v>0</v>
      </c>
    </row>
  </sheetData>
  <phoneticPr fontId="1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57"/>
  <sheetViews>
    <sheetView workbookViewId="0">
      <selection activeCell="E43" sqref="A39:E43"/>
    </sheetView>
  </sheetViews>
  <sheetFormatPr defaultRowHeight="15"/>
  <cols>
    <col min="2" max="2" width="23.42578125" customWidth="1"/>
    <col min="3" max="5" width="9.140625" style="11"/>
    <col min="6" max="6" width="18.7109375" style="11" bestFit="1" customWidth="1"/>
    <col min="7" max="8" width="18.7109375" style="11" customWidth="1"/>
    <col min="9" max="11" width="9.140625" style="11"/>
    <col min="12" max="12" width="12" style="11" bestFit="1" customWidth="1"/>
  </cols>
  <sheetData>
    <row r="1" spans="1:14">
      <c r="G1" s="12">
        <v>3</v>
      </c>
      <c r="J1" s="11">
        <f>Inputs!B18</f>
        <v>0</v>
      </c>
      <c r="N1" s="11"/>
    </row>
    <row r="2" spans="1:14" s="12" customFormat="1" ht="30">
      <c r="C2" s="12" t="s">
        <v>101</v>
      </c>
      <c r="D2" s="12" t="s">
        <v>99</v>
      </c>
      <c r="E2" s="12" t="s">
        <v>100</v>
      </c>
      <c r="F2" s="12" t="s">
        <v>103</v>
      </c>
      <c r="G2" s="12" t="s">
        <v>105</v>
      </c>
      <c r="H2" s="12" t="s">
        <v>104</v>
      </c>
      <c r="I2" s="12" t="s">
        <v>287</v>
      </c>
      <c r="J2" s="12" t="s">
        <v>88</v>
      </c>
    </row>
    <row r="3" spans="1:14">
      <c r="A3">
        <v>1</v>
      </c>
      <c r="B3" t="s">
        <v>11</v>
      </c>
      <c r="C3" s="11">
        <v>3</v>
      </c>
      <c r="D3" s="13">
        <f>VLOOKUP(B3,Size!$A$2:$D$36,4,FALSE)+2</f>
        <v>2.4</v>
      </c>
      <c r="E3" s="13">
        <f>C3/D3</f>
        <v>1.25</v>
      </c>
      <c r="F3" s="14">
        <v>0</v>
      </c>
      <c r="G3" s="14">
        <f t="shared" ref="G3:G37" si="0">F3*$G$1</f>
        <v>0</v>
      </c>
      <c r="H3" s="13">
        <f>E3+G3</f>
        <v>1.25</v>
      </c>
      <c r="I3" s="11">
        <f t="shared" ref="I3:I37" si="1">VLOOKUP(H3,$M$4:$N$14,2)</f>
        <v>1</v>
      </c>
      <c r="J3" s="11">
        <f>I3*$J$1</f>
        <v>0</v>
      </c>
      <c r="M3" s="11" t="s">
        <v>100</v>
      </c>
      <c r="N3" s="11" t="s">
        <v>88</v>
      </c>
    </row>
    <row r="4" spans="1:14">
      <c r="A4">
        <f>+A3+1</f>
        <v>2</v>
      </c>
      <c r="B4" t="s">
        <v>13</v>
      </c>
      <c r="C4" s="11">
        <v>3</v>
      </c>
      <c r="D4" s="13">
        <f>VLOOKUP(B4,Size!$A$2:$D$36,4,FALSE)+2</f>
        <v>4.5920000000000005</v>
      </c>
      <c r="E4" s="13">
        <f t="shared" ref="E4:E37" si="2">C4/D4</f>
        <v>0.65331010452961669</v>
      </c>
      <c r="F4" s="14">
        <v>2</v>
      </c>
      <c r="G4" s="14">
        <f t="shared" si="0"/>
        <v>6</v>
      </c>
      <c r="H4" s="13">
        <f t="shared" ref="H4:H37" si="3">E4+G4</f>
        <v>6.6533101045296164</v>
      </c>
      <c r="I4" s="11">
        <f t="shared" si="1"/>
        <v>6</v>
      </c>
      <c r="J4" s="11">
        <f t="shared" ref="J4:J37" si="4">I4*$J$1</f>
        <v>0</v>
      </c>
      <c r="M4" s="11">
        <v>0</v>
      </c>
      <c r="N4" s="11">
        <v>0</v>
      </c>
    </row>
    <row r="5" spans="1:14">
      <c r="A5">
        <f t="shared" ref="A5:A37" si="5">+A4+1</f>
        <v>3</v>
      </c>
      <c r="B5" t="s">
        <v>14</v>
      </c>
      <c r="C5" s="11">
        <v>2</v>
      </c>
      <c r="D5" s="13">
        <f>VLOOKUP(B5,Size!$A$2:$D$36,4,FALSE)+2</f>
        <v>2.3887999999999998</v>
      </c>
      <c r="E5" s="13">
        <f t="shared" si="2"/>
        <v>0.83724045545880788</v>
      </c>
      <c r="F5" s="14">
        <v>0</v>
      </c>
      <c r="G5" s="14">
        <f t="shared" si="0"/>
        <v>0</v>
      </c>
      <c r="H5" s="13">
        <f t="shared" si="3"/>
        <v>0.83724045545880788</v>
      </c>
      <c r="I5" s="11">
        <f t="shared" si="1"/>
        <v>0</v>
      </c>
      <c r="J5" s="11">
        <f t="shared" si="4"/>
        <v>0</v>
      </c>
      <c r="M5" s="11">
        <v>1</v>
      </c>
      <c r="N5" s="11">
        <v>1</v>
      </c>
    </row>
    <row r="6" spans="1:14">
      <c r="A6">
        <f t="shared" si="5"/>
        <v>4</v>
      </c>
      <c r="B6" t="s">
        <v>17</v>
      </c>
      <c r="C6" s="11">
        <v>6</v>
      </c>
      <c r="D6" s="13">
        <f>VLOOKUP(B6,Size!$A$2:$D$36,4,FALSE)+2</f>
        <v>7.5944000000000003</v>
      </c>
      <c r="E6" s="13">
        <f t="shared" si="2"/>
        <v>0.79005583061202989</v>
      </c>
      <c r="F6" s="14">
        <v>3</v>
      </c>
      <c r="G6" s="14">
        <f t="shared" si="0"/>
        <v>9</v>
      </c>
      <c r="H6" s="13">
        <f t="shared" si="3"/>
        <v>9.7900558306120296</v>
      </c>
      <c r="I6" s="11">
        <f t="shared" si="1"/>
        <v>8</v>
      </c>
      <c r="J6" s="11">
        <f t="shared" si="4"/>
        <v>0</v>
      </c>
      <c r="M6" s="11">
        <v>2</v>
      </c>
      <c r="N6" s="11">
        <v>2</v>
      </c>
    </row>
    <row r="7" spans="1:14">
      <c r="A7">
        <f t="shared" si="5"/>
        <v>5</v>
      </c>
      <c r="B7" t="s">
        <v>18</v>
      </c>
      <c r="C7" s="11">
        <v>7</v>
      </c>
      <c r="D7" s="13">
        <f>VLOOKUP(B7,Size!$A$2:$D$36,4,FALSE)+2</f>
        <v>4.1167999999999996</v>
      </c>
      <c r="E7" s="13">
        <f t="shared" si="2"/>
        <v>1.7003497862417414</v>
      </c>
      <c r="F7" s="14">
        <v>2</v>
      </c>
      <c r="G7" s="14">
        <f t="shared" si="0"/>
        <v>6</v>
      </c>
      <c r="H7" s="13">
        <f t="shared" si="3"/>
        <v>7.7003497862417412</v>
      </c>
      <c r="I7" s="11">
        <f t="shared" si="1"/>
        <v>7</v>
      </c>
      <c r="J7" s="11">
        <f t="shared" si="4"/>
        <v>0</v>
      </c>
      <c r="M7" s="11">
        <v>3</v>
      </c>
      <c r="N7" s="11">
        <v>3</v>
      </c>
    </row>
    <row r="8" spans="1:14">
      <c r="A8">
        <f t="shared" si="5"/>
        <v>6</v>
      </c>
      <c r="B8" t="s">
        <v>19</v>
      </c>
      <c r="C8" s="11">
        <v>7</v>
      </c>
      <c r="D8" s="13">
        <f>VLOOKUP(B8,Size!$A$2:$D$36,4,FALSE)+2</f>
        <v>2.6480000000000001</v>
      </c>
      <c r="E8" s="13">
        <f t="shared" si="2"/>
        <v>2.6435045317220545</v>
      </c>
      <c r="F8" s="14">
        <v>1</v>
      </c>
      <c r="G8" s="14">
        <f t="shared" si="0"/>
        <v>3</v>
      </c>
      <c r="H8" s="13">
        <f t="shared" si="3"/>
        <v>5.6435045317220549</v>
      </c>
      <c r="I8" s="11">
        <f t="shared" si="1"/>
        <v>5</v>
      </c>
      <c r="J8" s="11">
        <f t="shared" si="4"/>
        <v>0</v>
      </c>
      <c r="M8" s="11">
        <v>4</v>
      </c>
      <c r="N8" s="11">
        <v>4</v>
      </c>
    </row>
    <row r="9" spans="1:14">
      <c r="A9">
        <f t="shared" si="5"/>
        <v>7</v>
      </c>
      <c r="B9" t="s">
        <v>20</v>
      </c>
      <c r="C9" s="11">
        <v>2</v>
      </c>
      <c r="D9" s="13">
        <f>VLOOKUP(B9,Size!$A$2:$D$36,4,FALSE)+2</f>
        <v>2.4752000000000001</v>
      </c>
      <c r="E9" s="13">
        <f t="shared" si="2"/>
        <v>0.80801551389786685</v>
      </c>
      <c r="F9" s="14">
        <v>0</v>
      </c>
      <c r="G9" s="14">
        <f t="shared" si="0"/>
        <v>0</v>
      </c>
      <c r="H9" s="13">
        <f t="shared" si="3"/>
        <v>0.80801551389786685</v>
      </c>
      <c r="I9" s="11">
        <f t="shared" si="1"/>
        <v>0</v>
      </c>
      <c r="J9" s="11">
        <f t="shared" si="4"/>
        <v>0</v>
      </c>
      <c r="M9" s="11">
        <v>5</v>
      </c>
      <c r="N9" s="11">
        <v>5</v>
      </c>
    </row>
    <row r="10" spans="1:14">
      <c r="A10">
        <f t="shared" si="5"/>
        <v>8</v>
      </c>
      <c r="B10" t="s">
        <v>21</v>
      </c>
      <c r="C10" s="11">
        <v>1</v>
      </c>
      <c r="D10" s="13">
        <f>VLOOKUP(B10,Size!$A$2:$D$36,4,FALSE)+2</f>
        <v>2.6912000000000003</v>
      </c>
      <c r="E10" s="13">
        <f t="shared" si="2"/>
        <v>0.37158145065398329</v>
      </c>
      <c r="F10" s="14">
        <v>1</v>
      </c>
      <c r="G10" s="14">
        <f t="shared" si="0"/>
        <v>3</v>
      </c>
      <c r="H10" s="13">
        <f t="shared" si="3"/>
        <v>3.3715814506539834</v>
      </c>
      <c r="I10" s="11">
        <f t="shared" si="1"/>
        <v>3</v>
      </c>
      <c r="J10" s="11">
        <f t="shared" si="4"/>
        <v>0</v>
      </c>
      <c r="M10" s="11">
        <v>6</v>
      </c>
      <c r="N10" s="11">
        <v>6</v>
      </c>
    </row>
    <row r="11" spans="1:14">
      <c r="A11">
        <f t="shared" si="5"/>
        <v>9</v>
      </c>
      <c r="B11" t="s">
        <v>22</v>
      </c>
      <c r="C11" s="11">
        <v>2</v>
      </c>
      <c r="D11" s="13">
        <f>VLOOKUP(B11,Size!$A$2:$D$36,4,FALSE)+2</f>
        <v>2.7776000000000001</v>
      </c>
      <c r="E11" s="13">
        <f t="shared" si="2"/>
        <v>0.72004608294930872</v>
      </c>
      <c r="F11" s="14">
        <v>0</v>
      </c>
      <c r="G11" s="14">
        <f t="shared" si="0"/>
        <v>0</v>
      </c>
      <c r="H11" s="13">
        <f t="shared" si="3"/>
        <v>0.72004608294930872</v>
      </c>
      <c r="I11" s="11">
        <f t="shared" si="1"/>
        <v>0</v>
      </c>
      <c r="J11" s="11">
        <f t="shared" si="4"/>
        <v>0</v>
      </c>
      <c r="M11" s="11">
        <v>7</v>
      </c>
      <c r="N11" s="11">
        <v>7</v>
      </c>
    </row>
    <row r="12" spans="1:14">
      <c r="A12">
        <f t="shared" si="5"/>
        <v>10</v>
      </c>
      <c r="B12" t="s">
        <v>23</v>
      </c>
      <c r="C12" s="11">
        <v>4</v>
      </c>
      <c r="D12" s="13">
        <f>VLOOKUP(B12,Size!$A$2:$D$36,4,FALSE)+2</f>
        <v>4.1167999999999996</v>
      </c>
      <c r="E12" s="13">
        <f t="shared" si="2"/>
        <v>0.97162844928099501</v>
      </c>
      <c r="F12" s="14">
        <v>1</v>
      </c>
      <c r="G12" s="14">
        <f t="shared" si="0"/>
        <v>3</v>
      </c>
      <c r="H12" s="13">
        <f t="shared" si="3"/>
        <v>3.971628449280995</v>
      </c>
      <c r="I12" s="11">
        <f t="shared" si="1"/>
        <v>3</v>
      </c>
      <c r="J12" s="11">
        <f t="shared" si="4"/>
        <v>0</v>
      </c>
      <c r="M12" s="11">
        <v>8</v>
      </c>
      <c r="N12" s="11">
        <v>8</v>
      </c>
    </row>
    <row r="13" spans="1:14">
      <c r="A13">
        <f t="shared" si="5"/>
        <v>11</v>
      </c>
      <c r="B13" t="s">
        <v>25</v>
      </c>
      <c r="C13" s="11">
        <v>4</v>
      </c>
      <c r="D13" s="13">
        <f>VLOOKUP(B13,Size!$A$2:$D$36,4,FALSE)+2</f>
        <v>8.804000000000002</v>
      </c>
      <c r="E13" s="13">
        <f t="shared" si="2"/>
        <v>0.4543389368468877</v>
      </c>
      <c r="F13" s="14">
        <v>3</v>
      </c>
      <c r="G13" s="14">
        <f t="shared" si="0"/>
        <v>9</v>
      </c>
      <c r="H13" s="13">
        <f t="shared" si="3"/>
        <v>9.454338936846888</v>
      </c>
      <c r="I13" s="11">
        <f t="shared" si="1"/>
        <v>8</v>
      </c>
      <c r="J13" s="11">
        <f t="shared" si="4"/>
        <v>0</v>
      </c>
      <c r="M13" s="11">
        <v>10</v>
      </c>
      <c r="N13" s="11">
        <v>9</v>
      </c>
    </row>
    <row r="14" spans="1:14">
      <c r="A14">
        <f t="shared" si="5"/>
        <v>12</v>
      </c>
      <c r="B14" t="s">
        <v>27</v>
      </c>
      <c r="C14" s="11">
        <v>3</v>
      </c>
      <c r="D14" s="13">
        <f>VLOOKUP(B14,Size!$A$2:$D$36,4,FALSE)+2</f>
        <v>2.4319999999999999</v>
      </c>
      <c r="E14" s="13">
        <f t="shared" si="2"/>
        <v>1.2335526315789473</v>
      </c>
      <c r="F14" s="14">
        <v>2</v>
      </c>
      <c r="G14" s="14">
        <f t="shared" si="0"/>
        <v>6</v>
      </c>
      <c r="H14" s="13">
        <f t="shared" si="3"/>
        <v>7.2335526315789469</v>
      </c>
      <c r="I14" s="11">
        <f t="shared" si="1"/>
        <v>7</v>
      </c>
      <c r="J14" s="11">
        <f t="shared" si="4"/>
        <v>0</v>
      </c>
      <c r="M14" s="11">
        <v>15</v>
      </c>
      <c r="N14" s="11">
        <v>10</v>
      </c>
    </row>
    <row r="15" spans="1:14">
      <c r="A15">
        <f t="shared" si="5"/>
        <v>13</v>
      </c>
      <c r="B15" t="s">
        <v>28</v>
      </c>
      <c r="C15" s="11">
        <v>0</v>
      </c>
      <c r="D15" s="13">
        <f>VLOOKUP(B15,Size!$A$2:$D$36,4,FALSE)+2</f>
        <v>2.6480000000000001</v>
      </c>
      <c r="E15" s="13">
        <f t="shared" si="2"/>
        <v>0</v>
      </c>
      <c r="F15" s="14">
        <v>1</v>
      </c>
      <c r="G15" s="14">
        <f t="shared" si="0"/>
        <v>3</v>
      </c>
      <c r="H15" s="13">
        <f t="shared" si="3"/>
        <v>3</v>
      </c>
      <c r="I15" s="11">
        <f t="shared" si="1"/>
        <v>3</v>
      </c>
      <c r="J15" s="11">
        <f t="shared" si="4"/>
        <v>0</v>
      </c>
    </row>
    <row r="16" spans="1:14">
      <c r="A16">
        <f t="shared" si="5"/>
        <v>14</v>
      </c>
      <c r="B16" t="s">
        <v>29</v>
      </c>
      <c r="C16" s="11">
        <v>0</v>
      </c>
      <c r="D16" s="13">
        <f>VLOOKUP(B16,Size!$A$2:$D$36,4,FALSE)+2</f>
        <v>2.1080000000000001</v>
      </c>
      <c r="E16" s="13">
        <f t="shared" si="2"/>
        <v>0</v>
      </c>
      <c r="F16" s="14">
        <v>0</v>
      </c>
      <c r="G16" s="14">
        <f t="shared" si="0"/>
        <v>0</v>
      </c>
      <c r="H16" s="13">
        <f t="shared" si="3"/>
        <v>0</v>
      </c>
      <c r="I16" s="11">
        <f t="shared" si="1"/>
        <v>0</v>
      </c>
      <c r="J16" s="11">
        <f t="shared" si="4"/>
        <v>0</v>
      </c>
    </row>
    <row r="17" spans="1:10">
      <c r="A17">
        <f t="shared" si="5"/>
        <v>15</v>
      </c>
      <c r="B17" t="s">
        <v>61</v>
      </c>
      <c r="C17" s="11">
        <v>0</v>
      </c>
      <c r="D17" s="13">
        <f>VLOOKUP(B17,Size!$A$2:$D$36,4,FALSE)+2</f>
        <v>2.2160000000000002</v>
      </c>
      <c r="E17" s="13">
        <f t="shared" si="2"/>
        <v>0</v>
      </c>
      <c r="F17" s="14">
        <v>0</v>
      </c>
      <c r="G17" s="14">
        <f t="shared" si="0"/>
        <v>0</v>
      </c>
      <c r="H17" s="13">
        <f t="shared" si="3"/>
        <v>0</v>
      </c>
      <c r="I17" s="11">
        <f t="shared" si="1"/>
        <v>0</v>
      </c>
      <c r="J17" s="11">
        <f t="shared" si="4"/>
        <v>0</v>
      </c>
    </row>
    <row r="18" spans="1:10">
      <c r="A18">
        <f t="shared" si="5"/>
        <v>16</v>
      </c>
      <c r="B18" t="s">
        <v>31</v>
      </c>
      <c r="C18" s="11">
        <v>7</v>
      </c>
      <c r="D18" s="13">
        <f>VLOOKUP(B18,Size!$A$2:$D$36,4,FALSE)+2</f>
        <v>2.9072</v>
      </c>
      <c r="E18" s="13">
        <f t="shared" si="2"/>
        <v>2.4078150798018711</v>
      </c>
      <c r="F18" s="14">
        <v>0</v>
      </c>
      <c r="G18" s="14">
        <f t="shared" si="0"/>
        <v>0</v>
      </c>
      <c r="H18" s="13">
        <f t="shared" si="3"/>
        <v>2.4078150798018711</v>
      </c>
      <c r="I18" s="11">
        <f t="shared" si="1"/>
        <v>2</v>
      </c>
      <c r="J18" s="11">
        <f t="shared" si="4"/>
        <v>0</v>
      </c>
    </row>
    <row r="19" spans="1:10">
      <c r="A19">
        <f t="shared" si="5"/>
        <v>17</v>
      </c>
      <c r="B19" t="s">
        <v>33</v>
      </c>
      <c r="C19" s="11">
        <v>3</v>
      </c>
      <c r="D19" s="13">
        <f>VLOOKUP(B19,Size!$A$2:$D$36,4,FALSE)+2</f>
        <v>2.4319999999999999</v>
      </c>
      <c r="E19" s="13">
        <f t="shared" si="2"/>
        <v>1.2335526315789473</v>
      </c>
      <c r="F19" s="14">
        <v>3</v>
      </c>
      <c r="G19" s="14">
        <f t="shared" si="0"/>
        <v>9</v>
      </c>
      <c r="H19" s="13">
        <f t="shared" si="3"/>
        <v>10.233552631578947</v>
      </c>
      <c r="I19" s="11">
        <f t="shared" si="1"/>
        <v>9</v>
      </c>
      <c r="J19" s="11">
        <f t="shared" si="4"/>
        <v>0</v>
      </c>
    </row>
    <row r="20" spans="1:10">
      <c r="A20">
        <f t="shared" si="5"/>
        <v>18</v>
      </c>
      <c r="B20" t="s">
        <v>34</v>
      </c>
      <c r="C20" s="11">
        <v>4</v>
      </c>
      <c r="D20" s="13">
        <f>VLOOKUP(B20,Size!$A$2:$D$36,4,FALSE)+2</f>
        <v>4.5920000000000005</v>
      </c>
      <c r="E20" s="13">
        <f t="shared" si="2"/>
        <v>0.87108013937282225</v>
      </c>
      <c r="F20" s="14">
        <v>2</v>
      </c>
      <c r="G20" s="14">
        <f t="shared" si="0"/>
        <v>6</v>
      </c>
      <c r="H20" s="13">
        <f t="shared" si="3"/>
        <v>6.8710801393728218</v>
      </c>
      <c r="I20" s="11">
        <f t="shared" si="1"/>
        <v>6</v>
      </c>
      <c r="J20" s="11">
        <f t="shared" si="4"/>
        <v>0</v>
      </c>
    </row>
    <row r="21" spans="1:10">
      <c r="A21">
        <f t="shared" si="5"/>
        <v>19</v>
      </c>
      <c r="B21" t="s">
        <v>35</v>
      </c>
      <c r="C21" s="11">
        <v>5</v>
      </c>
      <c r="D21" s="13">
        <f>VLOOKUP(B21,Size!$A$2:$D$36,4,FALSE)+2</f>
        <v>3.5552000000000001</v>
      </c>
      <c r="E21" s="13">
        <f t="shared" si="2"/>
        <v>1.4063906390639063</v>
      </c>
      <c r="F21" s="14">
        <v>1</v>
      </c>
      <c r="G21" s="14">
        <f t="shared" si="0"/>
        <v>3</v>
      </c>
      <c r="H21" s="13">
        <f t="shared" si="3"/>
        <v>4.4063906390639058</v>
      </c>
      <c r="I21" s="11">
        <f t="shared" si="1"/>
        <v>4</v>
      </c>
      <c r="J21" s="11">
        <f t="shared" si="4"/>
        <v>0</v>
      </c>
    </row>
    <row r="22" spans="1:10">
      <c r="A22">
        <f t="shared" si="5"/>
        <v>20</v>
      </c>
      <c r="B22" t="s">
        <v>36</v>
      </c>
      <c r="C22" s="11">
        <v>2</v>
      </c>
      <c r="D22" s="13">
        <f>VLOOKUP(B22,Size!$A$2:$D$36,4,FALSE)+2</f>
        <v>4.16</v>
      </c>
      <c r="E22" s="13">
        <f t="shared" si="2"/>
        <v>0.48076923076923073</v>
      </c>
      <c r="F22" s="14">
        <v>2</v>
      </c>
      <c r="G22" s="14">
        <f t="shared" si="0"/>
        <v>6</v>
      </c>
      <c r="H22" s="13">
        <f t="shared" si="3"/>
        <v>6.4807692307692308</v>
      </c>
      <c r="I22" s="11">
        <f t="shared" si="1"/>
        <v>6</v>
      </c>
      <c r="J22" s="11">
        <f t="shared" si="4"/>
        <v>0</v>
      </c>
    </row>
    <row r="23" spans="1:10">
      <c r="A23">
        <f t="shared" si="5"/>
        <v>21</v>
      </c>
      <c r="B23" t="s">
        <v>37</v>
      </c>
      <c r="C23" s="11">
        <v>4</v>
      </c>
      <c r="D23" s="13">
        <f>VLOOKUP(B23,Size!$A$2:$D$36,4,FALSE)+2</f>
        <v>2.6480000000000001</v>
      </c>
      <c r="E23" s="13">
        <f t="shared" si="2"/>
        <v>1.5105740181268881</v>
      </c>
      <c r="F23" s="14">
        <v>2</v>
      </c>
      <c r="G23" s="14">
        <f t="shared" si="0"/>
        <v>6</v>
      </c>
      <c r="H23" s="13">
        <f t="shared" si="3"/>
        <v>7.5105740181268885</v>
      </c>
      <c r="I23" s="11">
        <f t="shared" si="1"/>
        <v>7</v>
      </c>
      <c r="J23" s="11">
        <f t="shared" si="4"/>
        <v>0</v>
      </c>
    </row>
    <row r="24" spans="1:10">
      <c r="A24">
        <f t="shared" si="5"/>
        <v>22</v>
      </c>
      <c r="B24" t="s">
        <v>38</v>
      </c>
      <c r="C24" s="11">
        <v>4</v>
      </c>
      <c r="D24" s="13">
        <f>VLOOKUP(B24,Size!$A$2:$D$36,4,FALSE)+2</f>
        <v>2.8424</v>
      </c>
      <c r="E24" s="13">
        <f t="shared" si="2"/>
        <v>1.4072614691809737</v>
      </c>
      <c r="F24" s="14">
        <v>1</v>
      </c>
      <c r="G24" s="14">
        <f t="shared" si="0"/>
        <v>3</v>
      </c>
      <c r="H24" s="13">
        <f t="shared" si="3"/>
        <v>4.4072614691809733</v>
      </c>
      <c r="I24" s="11">
        <f t="shared" si="1"/>
        <v>4</v>
      </c>
      <c r="J24" s="11">
        <f t="shared" si="4"/>
        <v>0</v>
      </c>
    </row>
    <row r="25" spans="1:10">
      <c r="A25">
        <f t="shared" si="5"/>
        <v>23</v>
      </c>
      <c r="B25" t="s">
        <v>39</v>
      </c>
      <c r="C25" s="11">
        <v>0</v>
      </c>
      <c r="D25" s="13">
        <f>VLOOKUP(B25,Size!$A$2:$D$36,4,FALSE)+2</f>
        <v>2.3456000000000001</v>
      </c>
      <c r="E25" s="13">
        <f t="shared" si="2"/>
        <v>0</v>
      </c>
      <c r="F25" s="14">
        <v>0</v>
      </c>
      <c r="G25" s="14">
        <f t="shared" si="0"/>
        <v>0</v>
      </c>
      <c r="H25" s="13">
        <f t="shared" si="3"/>
        <v>0</v>
      </c>
      <c r="I25" s="11">
        <f t="shared" si="1"/>
        <v>0</v>
      </c>
      <c r="J25" s="11">
        <f t="shared" si="4"/>
        <v>0</v>
      </c>
    </row>
    <row r="26" spans="1:10">
      <c r="A26">
        <f t="shared" si="5"/>
        <v>24</v>
      </c>
      <c r="B26" t="s">
        <v>52</v>
      </c>
      <c r="C26" s="11">
        <v>1</v>
      </c>
      <c r="D26" s="13">
        <f>VLOOKUP(B26,Size!$A$2:$D$36,4,FALSE)+2</f>
        <v>2.0648</v>
      </c>
      <c r="E26" s="13">
        <f t="shared" si="2"/>
        <v>0.48430840759395583</v>
      </c>
      <c r="F26" s="14">
        <v>0</v>
      </c>
      <c r="G26" s="14">
        <f t="shared" si="0"/>
        <v>0</v>
      </c>
      <c r="H26" s="13">
        <f t="shared" si="3"/>
        <v>0.48430840759395583</v>
      </c>
      <c r="I26" s="11">
        <f t="shared" si="1"/>
        <v>0</v>
      </c>
      <c r="J26" s="11">
        <f t="shared" si="4"/>
        <v>0</v>
      </c>
    </row>
    <row r="27" spans="1:10">
      <c r="A27">
        <f t="shared" si="5"/>
        <v>25</v>
      </c>
      <c r="B27" t="s">
        <v>40</v>
      </c>
      <c r="C27" s="11">
        <v>2</v>
      </c>
      <c r="D27" s="13">
        <f>VLOOKUP(B27,Size!$A$2:$D$36,4,FALSE)+2</f>
        <v>2.72261</v>
      </c>
      <c r="E27" s="13">
        <f t="shared" si="2"/>
        <v>0.73458923606392401</v>
      </c>
      <c r="F27" s="14">
        <v>3</v>
      </c>
      <c r="G27" s="14">
        <f t="shared" si="0"/>
        <v>9</v>
      </c>
      <c r="H27" s="13">
        <f t="shared" si="3"/>
        <v>9.7345892360639237</v>
      </c>
      <c r="I27" s="11">
        <f t="shared" si="1"/>
        <v>8</v>
      </c>
      <c r="J27" s="11">
        <f t="shared" si="4"/>
        <v>0</v>
      </c>
    </row>
    <row r="28" spans="1:10">
      <c r="A28">
        <f t="shared" si="5"/>
        <v>26</v>
      </c>
      <c r="B28" t="s">
        <v>41</v>
      </c>
      <c r="C28" s="11">
        <v>2</v>
      </c>
      <c r="D28" s="13">
        <f>VLOOKUP(B28,Size!$A$2:$D$36,4,FALSE)+2</f>
        <v>2.5184000000000002</v>
      </c>
      <c r="E28" s="13">
        <f t="shared" si="2"/>
        <v>0.79415501905972041</v>
      </c>
      <c r="F28" s="14">
        <v>0</v>
      </c>
      <c r="G28" s="14">
        <f t="shared" si="0"/>
        <v>0</v>
      </c>
      <c r="H28" s="13">
        <f t="shared" si="3"/>
        <v>0.79415501905972041</v>
      </c>
      <c r="I28" s="11">
        <f t="shared" si="1"/>
        <v>0</v>
      </c>
      <c r="J28" s="11">
        <f t="shared" si="4"/>
        <v>0</v>
      </c>
    </row>
    <row r="29" spans="1:10">
      <c r="A29">
        <f t="shared" si="5"/>
        <v>27</v>
      </c>
      <c r="B29" t="s">
        <v>53</v>
      </c>
      <c r="C29" s="11">
        <v>2</v>
      </c>
      <c r="D29" s="13">
        <f>VLOOKUP(B29,Size!$A$2:$D$36,4,FALSE)+2</f>
        <v>2.3887999999999998</v>
      </c>
      <c r="E29" s="13">
        <f t="shared" si="2"/>
        <v>0.83724045545880788</v>
      </c>
      <c r="F29" s="14">
        <v>1</v>
      </c>
      <c r="G29" s="14">
        <f t="shared" si="0"/>
        <v>3</v>
      </c>
      <c r="H29" s="13">
        <f t="shared" si="3"/>
        <v>3.837240455458808</v>
      </c>
      <c r="I29" s="11">
        <f t="shared" si="1"/>
        <v>3</v>
      </c>
      <c r="J29" s="11">
        <f t="shared" si="4"/>
        <v>0</v>
      </c>
    </row>
    <row r="30" spans="1:10">
      <c r="A30">
        <f t="shared" si="5"/>
        <v>28</v>
      </c>
      <c r="B30" t="s">
        <v>42</v>
      </c>
      <c r="C30" s="11">
        <v>0</v>
      </c>
      <c r="D30" s="13">
        <f>VLOOKUP(B30,Size!$A$2:$D$36,4,FALSE)+2</f>
        <v>2.0648</v>
      </c>
      <c r="E30" s="13">
        <f t="shared" si="2"/>
        <v>0</v>
      </c>
      <c r="F30" s="14">
        <v>2</v>
      </c>
      <c r="G30" s="14">
        <f t="shared" si="0"/>
        <v>6</v>
      </c>
      <c r="H30" s="13">
        <f t="shared" si="3"/>
        <v>6</v>
      </c>
      <c r="I30" s="11">
        <f t="shared" si="1"/>
        <v>6</v>
      </c>
      <c r="J30" s="11">
        <f t="shared" si="4"/>
        <v>0</v>
      </c>
    </row>
    <row r="31" spans="1:10">
      <c r="A31">
        <f t="shared" si="5"/>
        <v>29</v>
      </c>
      <c r="B31" t="s">
        <v>43</v>
      </c>
      <c r="C31" s="11">
        <v>0</v>
      </c>
      <c r="D31" s="13">
        <f>VLOOKUP(B31,Size!$A$2:$D$36,4,FALSE)+2</f>
        <v>2.4752000000000001</v>
      </c>
      <c r="E31" s="13">
        <f t="shared" si="2"/>
        <v>0</v>
      </c>
      <c r="F31" s="14">
        <v>1</v>
      </c>
      <c r="G31" s="14">
        <f t="shared" si="0"/>
        <v>3</v>
      </c>
      <c r="H31" s="13">
        <f t="shared" si="3"/>
        <v>3</v>
      </c>
      <c r="I31" s="11">
        <f t="shared" si="1"/>
        <v>3</v>
      </c>
      <c r="J31" s="11">
        <f t="shared" si="4"/>
        <v>0</v>
      </c>
    </row>
    <row r="32" spans="1:10">
      <c r="A32">
        <f t="shared" si="5"/>
        <v>30</v>
      </c>
      <c r="B32" t="s">
        <v>44</v>
      </c>
      <c r="C32" s="11">
        <v>3</v>
      </c>
      <c r="D32" s="13">
        <f>VLOOKUP(B32,Size!$A$2:$D$36,4,FALSE)+2</f>
        <v>2.8639999999999999</v>
      </c>
      <c r="E32" s="13">
        <f t="shared" si="2"/>
        <v>1.0474860335195531</v>
      </c>
      <c r="F32" s="14">
        <v>1</v>
      </c>
      <c r="G32" s="14">
        <f t="shared" si="0"/>
        <v>3</v>
      </c>
      <c r="H32" s="13">
        <f t="shared" si="3"/>
        <v>4.0474860335195526</v>
      </c>
      <c r="I32" s="11">
        <f t="shared" si="1"/>
        <v>4</v>
      </c>
      <c r="J32" s="11">
        <f t="shared" si="4"/>
        <v>0</v>
      </c>
    </row>
    <row r="33" spans="1:10">
      <c r="A33">
        <f t="shared" si="5"/>
        <v>31</v>
      </c>
      <c r="B33" t="s">
        <v>46</v>
      </c>
      <c r="C33" s="11">
        <v>1</v>
      </c>
      <c r="D33" s="13">
        <f>VLOOKUP(B33,Size!$A$2:$D$36,4,FALSE)+2</f>
        <v>2.0648</v>
      </c>
      <c r="E33" s="13">
        <f t="shared" si="2"/>
        <v>0.48430840759395583</v>
      </c>
      <c r="F33" s="14">
        <v>0</v>
      </c>
      <c r="G33" s="14">
        <f t="shared" si="0"/>
        <v>0</v>
      </c>
      <c r="H33" s="13">
        <f t="shared" si="3"/>
        <v>0.48430840759395583</v>
      </c>
      <c r="I33" s="11">
        <f t="shared" si="1"/>
        <v>0</v>
      </c>
      <c r="J33" s="11">
        <f t="shared" si="4"/>
        <v>0</v>
      </c>
    </row>
    <row r="34" spans="1:10">
      <c r="A34">
        <f t="shared" si="5"/>
        <v>32</v>
      </c>
      <c r="B34" t="s">
        <v>47</v>
      </c>
      <c r="C34" s="11">
        <v>5</v>
      </c>
      <c r="D34" s="13">
        <f>VLOOKUP(B34,Size!$A$2:$D$36,4,FALSE)+2</f>
        <v>6.7952000000000004</v>
      </c>
      <c r="E34" s="13">
        <f t="shared" si="2"/>
        <v>0.73581351542265128</v>
      </c>
      <c r="F34" s="14">
        <v>3</v>
      </c>
      <c r="G34" s="14">
        <f t="shared" si="0"/>
        <v>9</v>
      </c>
      <c r="H34" s="13">
        <f t="shared" si="3"/>
        <v>9.7358135154226506</v>
      </c>
      <c r="I34" s="11">
        <f t="shared" si="1"/>
        <v>8</v>
      </c>
      <c r="J34" s="11">
        <f t="shared" si="4"/>
        <v>0</v>
      </c>
    </row>
    <row r="35" spans="1:10">
      <c r="A35">
        <f t="shared" si="5"/>
        <v>33</v>
      </c>
      <c r="B35" t="s">
        <v>62</v>
      </c>
      <c r="C35" s="11">
        <v>9</v>
      </c>
      <c r="D35" s="13">
        <f>VLOOKUP(B35,Size!$A$2:$D$36,4,FALSE)+2</f>
        <v>6.4064000000000005</v>
      </c>
      <c r="E35" s="13">
        <f t="shared" si="2"/>
        <v>1.4048451548451548</v>
      </c>
      <c r="F35" s="14">
        <v>3</v>
      </c>
      <c r="G35" s="14">
        <f t="shared" si="0"/>
        <v>9</v>
      </c>
      <c r="H35" s="13">
        <f t="shared" si="3"/>
        <v>10.404845154845155</v>
      </c>
      <c r="I35" s="11">
        <f t="shared" si="1"/>
        <v>9</v>
      </c>
      <c r="J35" s="11">
        <f t="shared" si="4"/>
        <v>0</v>
      </c>
    </row>
    <row r="36" spans="1:10">
      <c r="A36">
        <f t="shared" si="5"/>
        <v>34</v>
      </c>
      <c r="B36" t="s">
        <v>48</v>
      </c>
      <c r="C36" s="11">
        <v>8</v>
      </c>
      <c r="D36" s="13">
        <f>VLOOKUP(B36,Size!$A$2:$D$36,4,FALSE)+2</f>
        <v>5.8879999999999999</v>
      </c>
      <c r="E36" s="13">
        <f t="shared" si="2"/>
        <v>1.3586956521739131</v>
      </c>
      <c r="F36" s="14">
        <v>2</v>
      </c>
      <c r="G36" s="14">
        <f t="shared" si="0"/>
        <v>6</v>
      </c>
      <c r="H36" s="13">
        <f t="shared" si="3"/>
        <v>7.3586956521739131</v>
      </c>
      <c r="I36" s="11">
        <f t="shared" si="1"/>
        <v>7</v>
      </c>
      <c r="J36" s="11">
        <f t="shared" si="4"/>
        <v>0</v>
      </c>
    </row>
    <row r="37" spans="1:10">
      <c r="A37">
        <f t="shared" si="5"/>
        <v>35</v>
      </c>
      <c r="B37" t="s">
        <v>49</v>
      </c>
      <c r="C37" s="11">
        <v>5</v>
      </c>
      <c r="D37" s="13">
        <f>VLOOKUP(B37,Size!$A$2:$D$36,4,FALSE)+2</f>
        <v>3.5120000000000005</v>
      </c>
      <c r="E37" s="13">
        <f t="shared" si="2"/>
        <v>1.4236902050113893</v>
      </c>
      <c r="F37" s="14">
        <v>1</v>
      </c>
      <c r="G37" s="14">
        <f t="shared" si="0"/>
        <v>3</v>
      </c>
      <c r="H37" s="13">
        <f t="shared" si="3"/>
        <v>4.4236902050113898</v>
      </c>
      <c r="I37" s="11">
        <f t="shared" si="1"/>
        <v>4</v>
      </c>
      <c r="J37" s="11">
        <f t="shared" si="4"/>
        <v>0</v>
      </c>
    </row>
    <row r="38" spans="1:10">
      <c r="E38" s="13"/>
      <c r="F38" s="14"/>
      <c r="G38" s="14"/>
      <c r="H38" s="14"/>
    </row>
    <row r="39" spans="1:10">
      <c r="E39" s="13"/>
      <c r="F39" s="14"/>
      <c r="G39" s="14"/>
      <c r="H39" s="14"/>
    </row>
    <row r="40" spans="1:10">
      <c r="E40" s="13"/>
      <c r="F40" s="14"/>
      <c r="G40" s="14"/>
      <c r="H40" s="14"/>
    </row>
    <row r="41" spans="1:10">
      <c r="E41" s="13"/>
      <c r="F41" s="14"/>
      <c r="G41" s="14"/>
      <c r="H41" s="14"/>
    </row>
    <row r="42" spans="1:10">
      <c r="E42" s="13"/>
      <c r="F42" s="14"/>
      <c r="G42" s="14"/>
      <c r="H42" s="14"/>
    </row>
    <row r="43" spans="1:10">
      <c r="E43" s="13"/>
      <c r="F43" s="14"/>
      <c r="G43" s="14"/>
      <c r="H43" s="14"/>
    </row>
    <row r="44" spans="1:10">
      <c r="E44" s="13"/>
      <c r="F44" s="14"/>
      <c r="G44" s="14"/>
      <c r="H44" s="14"/>
    </row>
    <row r="45" spans="1:10">
      <c r="E45" s="13"/>
      <c r="F45" s="14"/>
      <c r="G45" s="14"/>
      <c r="H45" s="14"/>
    </row>
    <row r="46" spans="1:10">
      <c r="E46" s="13"/>
      <c r="F46" s="14"/>
      <c r="G46" s="14"/>
      <c r="H46" s="14"/>
    </row>
    <row r="47" spans="1:10">
      <c r="E47" s="13"/>
      <c r="F47" s="14"/>
      <c r="G47" s="14"/>
      <c r="H47" s="14"/>
    </row>
    <row r="48" spans="1:10">
      <c r="E48" s="13"/>
      <c r="F48" s="14"/>
      <c r="G48" s="14"/>
      <c r="H48" s="14"/>
    </row>
    <row r="49" spans="5:8">
      <c r="E49" s="13"/>
      <c r="F49" s="14"/>
      <c r="G49" s="14"/>
      <c r="H49" s="14"/>
    </row>
    <row r="50" spans="5:8">
      <c r="E50" s="13"/>
      <c r="F50" s="14"/>
      <c r="G50" s="14"/>
      <c r="H50" s="14"/>
    </row>
    <row r="51" spans="5:8">
      <c r="E51" s="13"/>
      <c r="F51" s="14"/>
      <c r="G51" s="14"/>
      <c r="H51" s="14"/>
    </row>
    <row r="52" spans="5:8">
      <c r="E52" s="13"/>
      <c r="F52" s="14"/>
      <c r="G52" s="14"/>
      <c r="H52" s="14"/>
    </row>
    <row r="53" spans="5:8">
      <c r="E53" s="13"/>
      <c r="F53" s="14"/>
      <c r="G53" s="14"/>
      <c r="H53" s="14"/>
    </row>
    <row r="54" spans="5:8">
      <c r="E54" s="13"/>
      <c r="F54" s="14"/>
      <c r="G54" s="14"/>
      <c r="H54" s="14"/>
    </row>
    <row r="55" spans="5:8">
      <c r="E55" s="13"/>
      <c r="F55" s="14"/>
      <c r="G55" s="14"/>
      <c r="H55" s="14"/>
    </row>
    <row r="56" spans="5:8">
      <c r="E56" s="13"/>
      <c r="F56" s="14"/>
      <c r="G56" s="14"/>
      <c r="H56" s="14"/>
    </row>
    <row r="57" spans="5:8">
      <c r="E57" s="13"/>
      <c r="F57" s="14"/>
      <c r="G57" s="14"/>
      <c r="H57" s="14"/>
    </row>
  </sheetData>
  <phoneticPr fontId="16" type="noConversion"/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E3" sqref="E3:E37"/>
    </sheetView>
  </sheetViews>
  <sheetFormatPr defaultRowHeight="15"/>
  <cols>
    <col min="2" max="2" width="27.42578125" bestFit="1" customWidth="1"/>
    <col min="3" max="3" width="17.28515625" bestFit="1" customWidth="1"/>
    <col min="6" max="6" width="5.42578125" bestFit="1" customWidth="1"/>
    <col min="7" max="7" width="12" bestFit="1" customWidth="1"/>
  </cols>
  <sheetData>
    <row r="1" spans="1:10">
      <c r="E1">
        <f>Inputs!B19</f>
        <v>0</v>
      </c>
    </row>
    <row r="2" spans="1:10">
      <c r="C2" t="s">
        <v>106</v>
      </c>
      <c r="D2" t="s">
        <v>290</v>
      </c>
      <c r="E2" t="s">
        <v>88</v>
      </c>
    </row>
    <row r="3" spans="1:10">
      <c r="A3">
        <v>1</v>
      </c>
      <c r="B3" t="s">
        <v>11</v>
      </c>
      <c r="C3">
        <v>473</v>
      </c>
      <c r="D3">
        <f t="shared" ref="D3:D37" si="0">VLOOKUP(C3,$I$4:$J$13,2,TRUE)</f>
        <v>2</v>
      </c>
      <c r="E3">
        <f>D3*$E$1</f>
        <v>0</v>
      </c>
      <c r="I3" s="11" t="s">
        <v>107</v>
      </c>
      <c r="J3" s="11" t="s">
        <v>88</v>
      </c>
    </row>
    <row r="4" spans="1:10">
      <c r="A4">
        <f>+A3+1</f>
        <v>2</v>
      </c>
      <c r="B4" t="s">
        <v>13</v>
      </c>
      <c r="C4">
        <v>346</v>
      </c>
      <c r="D4">
        <f t="shared" si="0"/>
        <v>6</v>
      </c>
      <c r="E4">
        <f t="shared" ref="E4:E37" si="1">D4*$E$1</f>
        <v>0</v>
      </c>
      <c r="I4" s="11">
        <v>200</v>
      </c>
      <c r="J4" s="11">
        <v>10</v>
      </c>
    </row>
    <row r="5" spans="1:10">
      <c r="A5">
        <f t="shared" ref="A5:A37" si="2">+A4+1</f>
        <v>3</v>
      </c>
      <c r="B5" t="s">
        <v>14</v>
      </c>
      <c r="C5">
        <v>440</v>
      </c>
      <c r="D5">
        <f t="shared" si="0"/>
        <v>3</v>
      </c>
      <c r="E5">
        <f t="shared" si="1"/>
        <v>0</v>
      </c>
      <c r="I5" s="11">
        <v>233</v>
      </c>
      <c r="J5" s="11">
        <v>9</v>
      </c>
    </row>
    <row r="6" spans="1:10">
      <c r="A6">
        <f t="shared" si="2"/>
        <v>4</v>
      </c>
      <c r="B6" t="s">
        <v>17</v>
      </c>
      <c r="C6">
        <v>208</v>
      </c>
      <c r="D6">
        <f t="shared" si="0"/>
        <v>10</v>
      </c>
      <c r="E6">
        <f t="shared" si="1"/>
        <v>0</v>
      </c>
      <c r="I6" s="11">
        <v>266</v>
      </c>
      <c r="J6" s="11">
        <v>8</v>
      </c>
    </row>
    <row r="7" spans="1:10">
      <c r="A7">
        <f t="shared" si="2"/>
        <v>5</v>
      </c>
      <c r="B7" t="s">
        <v>18</v>
      </c>
      <c r="C7">
        <v>440</v>
      </c>
      <c r="D7">
        <f t="shared" si="0"/>
        <v>3</v>
      </c>
      <c r="E7">
        <f t="shared" si="1"/>
        <v>0</v>
      </c>
      <c r="I7" s="11">
        <v>300</v>
      </c>
      <c r="J7" s="11">
        <v>7</v>
      </c>
    </row>
    <row r="8" spans="1:10">
      <c r="A8">
        <f t="shared" si="2"/>
        <v>6</v>
      </c>
      <c r="B8" t="s">
        <v>19</v>
      </c>
      <c r="C8">
        <v>473</v>
      </c>
      <c r="D8">
        <f t="shared" si="0"/>
        <v>2</v>
      </c>
      <c r="E8">
        <f t="shared" si="1"/>
        <v>0</v>
      </c>
      <c r="I8" s="11">
        <v>333</v>
      </c>
      <c r="J8" s="11">
        <v>6</v>
      </c>
    </row>
    <row r="9" spans="1:10">
      <c r="A9">
        <f t="shared" si="2"/>
        <v>7</v>
      </c>
      <c r="B9" t="s">
        <v>20</v>
      </c>
      <c r="C9">
        <v>444</v>
      </c>
      <c r="D9">
        <f t="shared" si="0"/>
        <v>3</v>
      </c>
      <c r="E9">
        <f t="shared" si="1"/>
        <v>0</v>
      </c>
      <c r="I9" s="11">
        <v>366</v>
      </c>
      <c r="J9" s="11">
        <v>5</v>
      </c>
    </row>
    <row r="10" spans="1:10">
      <c r="A10">
        <f t="shared" si="2"/>
        <v>8</v>
      </c>
      <c r="B10" t="s">
        <v>21</v>
      </c>
      <c r="C10">
        <v>444</v>
      </c>
      <c r="D10">
        <f t="shared" si="0"/>
        <v>3</v>
      </c>
      <c r="E10">
        <f t="shared" si="1"/>
        <v>0</v>
      </c>
      <c r="I10" s="11">
        <v>400</v>
      </c>
      <c r="J10" s="11">
        <v>4</v>
      </c>
    </row>
    <row r="11" spans="1:10">
      <c r="A11">
        <f t="shared" si="2"/>
        <v>9</v>
      </c>
      <c r="B11" t="s">
        <v>22</v>
      </c>
      <c r="C11">
        <v>444</v>
      </c>
      <c r="D11">
        <f t="shared" si="0"/>
        <v>3</v>
      </c>
      <c r="E11">
        <f t="shared" si="1"/>
        <v>0</v>
      </c>
      <c r="I11" s="11">
        <v>433</v>
      </c>
      <c r="J11" s="11">
        <v>3</v>
      </c>
    </row>
    <row r="12" spans="1:10">
      <c r="A12">
        <f t="shared" si="2"/>
        <v>10</v>
      </c>
      <c r="B12" t="s">
        <v>23</v>
      </c>
      <c r="C12">
        <v>440</v>
      </c>
      <c r="D12">
        <f t="shared" si="0"/>
        <v>3</v>
      </c>
      <c r="E12">
        <f t="shared" si="1"/>
        <v>0</v>
      </c>
      <c r="I12" s="11">
        <v>466</v>
      </c>
      <c r="J12" s="11">
        <v>2</v>
      </c>
    </row>
    <row r="13" spans="1:10">
      <c r="A13">
        <f t="shared" si="2"/>
        <v>11</v>
      </c>
      <c r="B13" t="s">
        <v>25</v>
      </c>
      <c r="C13">
        <v>440</v>
      </c>
      <c r="D13">
        <f t="shared" si="0"/>
        <v>3</v>
      </c>
      <c r="E13">
        <f t="shared" si="1"/>
        <v>0</v>
      </c>
      <c r="I13" s="11">
        <v>500</v>
      </c>
      <c r="J13" s="11">
        <v>1</v>
      </c>
    </row>
    <row r="14" spans="1:10">
      <c r="A14">
        <f t="shared" si="2"/>
        <v>12</v>
      </c>
      <c r="B14" t="s">
        <v>27</v>
      </c>
      <c r="C14">
        <v>440</v>
      </c>
      <c r="D14">
        <f t="shared" si="0"/>
        <v>3</v>
      </c>
      <c r="E14">
        <f t="shared" si="1"/>
        <v>0</v>
      </c>
      <c r="F14" s="11"/>
      <c r="G14" s="11"/>
    </row>
    <row r="15" spans="1:10">
      <c r="A15">
        <f t="shared" si="2"/>
        <v>13</v>
      </c>
      <c r="B15" t="s">
        <v>28</v>
      </c>
      <c r="C15">
        <v>444</v>
      </c>
      <c r="D15">
        <f t="shared" si="0"/>
        <v>3</v>
      </c>
      <c r="E15">
        <f t="shared" si="1"/>
        <v>0</v>
      </c>
    </row>
    <row r="16" spans="1:10">
      <c r="A16">
        <f t="shared" si="2"/>
        <v>14</v>
      </c>
      <c r="B16" t="s">
        <v>29</v>
      </c>
      <c r="C16">
        <v>444</v>
      </c>
      <c r="D16">
        <f t="shared" si="0"/>
        <v>3</v>
      </c>
      <c r="E16">
        <f t="shared" si="1"/>
        <v>0</v>
      </c>
    </row>
    <row r="17" spans="1:5">
      <c r="A17">
        <f t="shared" si="2"/>
        <v>15</v>
      </c>
      <c r="B17" t="s">
        <v>61</v>
      </c>
      <c r="C17">
        <v>440</v>
      </c>
      <c r="D17">
        <f t="shared" si="0"/>
        <v>3</v>
      </c>
      <c r="E17">
        <f t="shared" si="1"/>
        <v>0</v>
      </c>
    </row>
    <row r="18" spans="1:5">
      <c r="A18">
        <f t="shared" si="2"/>
        <v>16</v>
      </c>
      <c r="B18" t="s">
        <v>31</v>
      </c>
      <c r="C18">
        <v>311</v>
      </c>
      <c r="D18">
        <f t="shared" si="0"/>
        <v>7</v>
      </c>
      <c r="E18">
        <f t="shared" si="1"/>
        <v>0</v>
      </c>
    </row>
    <row r="19" spans="1:5">
      <c r="A19">
        <f t="shared" si="2"/>
        <v>17</v>
      </c>
      <c r="B19" t="s">
        <v>33</v>
      </c>
      <c r="C19">
        <v>444</v>
      </c>
      <c r="D19">
        <f t="shared" si="0"/>
        <v>3</v>
      </c>
      <c r="E19">
        <f t="shared" si="1"/>
        <v>0</v>
      </c>
    </row>
    <row r="20" spans="1:5">
      <c r="A20">
        <f t="shared" si="2"/>
        <v>18</v>
      </c>
      <c r="B20" t="s">
        <v>34</v>
      </c>
      <c r="C20">
        <v>444</v>
      </c>
      <c r="D20">
        <f t="shared" si="0"/>
        <v>3</v>
      </c>
      <c r="E20">
        <f t="shared" si="1"/>
        <v>0</v>
      </c>
    </row>
    <row r="21" spans="1:5">
      <c r="A21">
        <f t="shared" si="2"/>
        <v>19</v>
      </c>
      <c r="B21" t="s">
        <v>35</v>
      </c>
      <c r="C21">
        <v>444</v>
      </c>
      <c r="D21">
        <f t="shared" si="0"/>
        <v>3</v>
      </c>
      <c r="E21">
        <f t="shared" si="1"/>
        <v>0</v>
      </c>
    </row>
    <row r="22" spans="1:5">
      <c r="A22">
        <f t="shared" si="2"/>
        <v>20</v>
      </c>
      <c r="B22" t="s">
        <v>36</v>
      </c>
      <c r="C22">
        <v>444</v>
      </c>
      <c r="D22">
        <f t="shared" si="0"/>
        <v>3</v>
      </c>
      <c r="E22">
        <f t="shared" si="1"/>
        <v>0</v>
      </c>
    </row>
    <row r="23" spans="1:5">
      <c r="A23">
        <f t="shared" si="2"/>
        <v>21</v>
      </c>
      <c r="B23" t="s">
        <v>37</v>
      </c>
      <c r="C23">
        <v>440</v>
      </c>
      <c r="D23">
        <f t="shared" si="0"/>
        <v>3</v>
      </c>
      <c r="E23">
        <f t="shared" si="1"/>
        <v>0</v>
      </c>
    </row>
    <row r="24" spans="1:5">
      <c r="A24">
        <f t="shared" si="2"/>
        <v>22</v>
      </c>
      <c r="B24" t="s">
        <v>38</v>
      </c>
      <c r="C24">
        <v>444</v>
      </c>
      <c r="D24">
        <f t="shared" si="0"/>
        <v>3</v>
      </c>
      <c r="E24">
        <f t="shared" si="1"/>
        <v>0</v>
      </c>
    </row>
    <row r="25" spans="1:5">
      <c r="A25">
        <f t="shared" si="2"/>
        <v>23</v>
      </c>
      <c r="B25" t="s">
        <v>39</v>
      </c>
      <c r="C25">
        <v>440</v>
      </c>
      <c r="D25">
        <f t="shared" si="0"/>
        <v>3</v>
      </c>
      <c r="E25">
        <f t="shared" si="1"/>
        <v>0</v>
      </c>
    </row>
    <row r="26" spans="1:5">
      <c r="A26">
        <f t="shared" si="2"/>
        <v>24</v>
      </c>
      <c r="B26" t="s">
        <v>52</v>
      </c>
      <c r="C26">
        <v>440</v>
      </c>
      <c r="D26">
        <f t="shared" si="0"/>
        <v>3</v>
      </c>
      <c r="E26">
        <f t="shared" si="1"/>
        <v>0</v>
      </c>
    </row>
    <row r="27" spans="1:5">
      <c r="A27">
        <f t="shared" si="2"/>
        <v>25</v>
      </c>
      <c r="B27" t="s">
        <v>40</v>
      </c>
      <c r="C27">
        <v>500</v>
      </c>
      <c r="D27">
        <f t="shared" si="0"/>
        <v>1</v>
      </c>
      <c r="E27">
        <f t="shared" si="1"/>
        <v>0</v>
      </c>
    </row>
    <row r="28" spans="1:5">
      <c r="A28">
        <f t="shared" si="2"/>
        <v>26</v>
      </c>
      <c r="B28" t="s">
        <v>41</v>
      </c>
      <c r="C28">
        <v>440</v>
      </c>
      <c r="D28">
        <f t="shared" si="0"/>
        <v>3</v>
      </c>
      <c r="E28">
        <f t="shared" si="1"/>
        <v>0</v>
      </c>
    </row>
    <row r="29" spans="1:5">
      <c r="A29">
        <f t="shared" si="2"/>
        <v>27</v>
      </c>
      <c r="B29" t="s">
        <v>53</v>
      </c>
      <c r="C29">
        <v>311</v>
      </c>
      <c r="D29">
        <f t="shared" si="0"/>
        <v>7</v>
      </c>
      <c r="E29">
        <f t="shared" si="1"/>
        <v>0</v>
      </c>
    </row>
    <row r="30" spans="1:5">
      <c r="A30">
        <f t="shared" si="2"/>
        <v>28</v>
      </c>
      <c r="B30" t="s">
        <v>42</v>
      </c>
      <c r="C30">
        <v>500</v>
      </c>
      <c r="D30">
        <f t="shared" si="0"/>
        <v>1</v>
      </c>
      <c r="E30">
        <f t="shared" si="1"/>
        <v>0</v>
      </c>
    </row>
    <row r="31" spans="1:5">
      <c r="A31">
        <f t="shared" si="2"/>
        <v>29</v>
      </c>
      <c r="B31" t="s">
        <v>43</v>
      </c>
      <c r="C31">
        <v>444</v>
      </c>
      <c r="D31">
        <f t="shared" si="0"/>
        <v>3</v>
      </c>
      <c r="E31">
        <f t="shared" si="1"/>
        <v>0</v>
      </c>
    </row>
    <row r="32" spans="1:5">
      <c r="A32">
        <f t="shared" si="2"/>
        <v>30</v>
      </c>
      <c r="B32" t="s">
        <v>44</v>
      </c>
      <c r="C32">
        <v>503</v>
      </c>
      <c r="D32">
        <f t="shared" si="0"/>
        <v>1</v>
      </c>
      <c r="E32">
        <f t="shared" si="1"/>
        <v>0</v>
      </c>
    </row>
    <row r="33" spans="1:5">
      <c r="A33">
        <f t="shared" si="2"/>
        <v>31</v>
      </c>
      <c r="B33" t="s">
        <v>46</v>
      </c>
      <c r="C33">
        <v>440</v>
      </c>
      <c r="D33">
        <f t="shared" si="0"/>
        <v>3</v>
      </c>
      <c r="E33">
        <f t="shared" si="1"/>
        <v>0</v>
      </c>
    </row>
    <row r="34" spans="1:5">
      <c r="A34">
        <f t="shared" si="2"/>
        <v>32</v>
      </c>
      <c r="B34" t="s">
        <v>47</v>
      </c>
      <c r="C34">
        <v>523</v>
      </c>
      <c r="D34">
        <f t="shared" si="0"/>
        <v>1</v>
      </c>
      <c r="E34">
        <f t="shared" si="1"/>
        <v>0</v>
      </c>
    </row>
    <row r="35" spans="1:5">
      <c r="A35">
        <f t="shared" si="2"/>
        <v>33</v>
      </c>
      <c r="B35" t="s">
        <v>62</v>
      </c>
      <c r="C35">
        <v>476</v>
      </c>
      <c r="D35">
        <f t="shared" si="0"/>
        <v>2</v>
      </c>
      <c r="E35">
        <f t="shared" si="1"/>
        <v>0</v>
      </c>
    </row>
    <row r="36" spans="1:5">
      <c r="A36">
        <f t="shared" si="2"/>
        <v>34</v>
      </c>
      <c r="B36" t="s">
        <v>48</v>
      </c>
      <c r="C36">
        <v>440</v>
      </c>
      <c r="D36">
        <f t="shared" si="0"/>
        <v>3</v>
      </c>
      <c r="E36">
        <f t="shared" si="1"/>
        <v>0</v>
      </c>
    </row>
    <row r="37" spans="1:5">
      <c r="A37">
        <f t="shared" si="2"/>
        <v>35</v>
      </c>
      <c r="B37" t="s">
        <v>49</v>
      </c>
      <c r="C37">
        <v>440</v>
      </c>
      <c r="D37">
        <f t="shared" si="0"/>
        <v>3</v>
      </c>
      <c r="E37">
        <f t="shared" si="1"/>
        <v>0</v>
      </c>
    </row>
    <row r="39" spans="1:5">
      <c r="A39">
        <f>OBJ!C2</f>
        <v>5</v>
      </c>
      <c r="B39" t="str">
        <f>OBJ!B2</f>
        <v>East Village</v>
      </c>
      <c r="C39">
        <f>VLOOKUP(B39,B3:D37,3,FALSE)</f>
        <v>3</v>
      </c>
      <c r="D39">
        <f>C39*E1</f>
        <v>0</v>
      </c>
    </row>
  </sheetData>
  <phoneticPr fontId="16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H36"/>
  <sheetViews>
    <sheetView topLeftCell="A8" workbookViewId="0">
      <selection activeCell="B2" sqref="B2"/>
    </sheetView>
  </sheetViews>
  <sheetFormatPr defaultRowHeight="15"/>
  <cols>
    <col min="1" max="1" width="16.5703125" customWidth="1"/>
  </cols>
  <sheetData>
    <row r="1" spans="1:8">
      <c r="B1" t="s">
        <v>109</v>
      </c>
      <c r="C1" t="s">
        <v>108</v>
      </c>
      <c r="D1" t="s">
        <v>95</v>
      </c>
    </row>
    <row r="2" spans="1:8">
      <c r="A2" t="s">
        <v>11</v>
      </c>
      <c r="D2" s="10">
        <v>0.4</v>
      </c>
    </row>
    <row r="3" spans="1:8">
      <c r="A3" t="s">
        <v>13</v>
      </c>
      <c r="B3">
        <v>6</v>
      </c>
      <c r="C3">
        <v>20</v>
      </c>
      <c r="D3" s="10">
        <f>B3*$F$7*C3*$G$7</f>
        <v>2.5920000000000005</v>
      </c>
    </row>
    <row r="4" spans="1:8">
      <c r="A4" t="s">
        <v>14</v>
      </c>
      <c r="B4">
        <v>6</v>
      </c>
      <c r="C4">
        <v>3</v>
      </c>
      <c r="D4" s="10">
        <f t="shared" ref="D4:D36" si="0">B4*$F$7*C4*$G$7</f>
        <v>0.38880000000000003</v>
      </c>
    </row>
    <row r="5" spans="1:8">
      <c r="A5" t="s">
        <v>17</v>
      </c>
      <c r="B5">
        <v>7</v>
      </c>
      <c r="C5">
        <v>37</v>
      </c>
      <c r="D5" s="10">
        <f t="shared" si="0"/>
        <v>5.5944000000000003</v>
      </c>
      <c r="F5" t="s">
        <v>96</v>
      </c>
    </row>
    <row r="6" spans="1:8">
      <c r="A6" t="s">
        <v>18</v>
      </c>
      <c r="B6">
        <v>7</v>
      </c>
      <c r="C6">
        <v>14</v>
      </c>
      <c r="D6" s="10">
        <f t="shared" si="0"/>
        <v>2.1168</v>
      </c>
      <c r="F6" s="11" t="s">
        <v>97</v>
      </c>
      <c r="G6" s="11" t="s">
        <v>98</v>
      </c>
      <c r="H6" s="11"/>
    </row>
    <row r="7" spans="1:8">
      <c r="A7" t="s">
        <v>19</v>
      </c>
      <c r="B7">
        <v>3</v>
      </c>
      <c r="C7">
        <v>10</v>
      </c>
      <c r="D7" s="10">
        <f t="shared" si="0"/>
        <v>0.64800000000000013</v>
      </c>
      <c r="F7" s="11">
        <f>270/1000</f>
        <v>0.27</v>
      </c>
      <c r="G7" s="11">
        <f>80/1000</f>
        <v>0.08</v>
      </c>
      <c r="H7" s="11"/>
    </row>
    <row r="8" spans="1:8">
      <c r="A8" t="s">
        <v>20</v>
      </c>
      <c r="B8">
        <v>2</v>
      </c>
      <c r="C8">
        <v>11</v>
      </c>
      <c r="D8" s="10">
        <f t="shared" si="0"/>
        <v>0.47520000000000007</v>
      </c>
    </row>
    <row r="9" spans="1:8">
      <c r="A9" t="s">
        <v>21</v>
      </c>
      <c r="B9">
        <v>4</v>
      </c>
      <c r="C9">
        <v>8</v>
      </c>
      <c r="D9" s="10">
        <f t="shared" si="0"/>
        <v>0.69120000000000004</v>
      </c>
    </row>
    <row r="10" spans="1:8">
      <c r="A10" t="s">
        <v>22</v>
      </c>
      <c r="B10">
        <v>4</v>
      </c>
      <c r="C10">
        <v>9</v>
      </c>
      <c r="D10" s="10">
        <f t="shared" si="0"/>
        <v>0.77760000000000007</v>
      </c>
    </row>
    <row r="11" spans="1:8">
      <c r="A11" t="s">
        <v>23</v>
      </c>
      <c r="B11">
        <v>7</v>
      </c>
      <c r="C11">
        <v>14</v>
      </c>
      <c r="D11" s="10">
        <f t="shared" si="0"/>
        <v>2.1168</v>
      </c>
    </row>
    <row r="12" spans="1:8">
      <c r="A12" t="s">
        <v>25</v>
      </c>
      <c r="B12">
        <v>7</v>
      </c>
      <c r="C12">
        <v>45</v>
      </c>
      <c r="D12" s="10">
        <f t="shared" si="0"/>
        <v>6.8040000000000012</v>
      </c>
    </row>
    <row r="13" spans="1:8">
      <c r="A13" t="s">
        <v>27</v>
      </c>
      <c r="B13">
        <v>2</v>
      </c>
      <c r="C13">
        <v>10</v>
      </c>
      <c r="D13" s="10">
        <f t="shared" si="0"/>
        <v>0.43200000000000005</v>
      </c>
    </row>
    <row r="14" spans="1:8">
      <c r="A14" t="s">
        <v>28</v>
      </c>
      <c r="B14">
        <v>3</v>
      </c>
      <c r="C14">
        <v>10</v>
      </c>
      <c r="D14" s="10">
        <f t="shared" si="0"/>
        <v>0.64800000000000013</v>
      </c>
    </row>
    <row r="15" spans="1:8">
      <c r="A15" t="s">
        <v>29</v>
      </c>
      <c r="B15">
        <v>1</v>
      </c>
      <c r="C15">
        <v>5</v>
      </c>
      <c r="D15" s="10">
        <f t="shared" si="0"/>
        <v>0.10800000000000001</v>
      </c>
    </row>
    <row r="16" spans="1:8">
      <c r="A16" t="s">
        <v>61</v>
      </c>
      <c r="B16">
        <v>2</v>
      </c>
      <c r="C16">
        <v>5</v>
      </c>
      <c r="D16" s="10">
        <f t="shared" si="0"/>
        <v>0.21600000000000003</v>
      </c>
    </row>
    <row r="17" spans="1:5">
      <c r="A17" t="s">
        <v>31</v>
      </c>
      <c r="B17">
        <v>7</v>
      </c>
      <c r="C17">
        <v>6</v>
      </c>
      <c r="D17" s="10">
        <f t="shared" si="0"/>
        <v>0.90720000000000001</v>
      </c>
    </row>
    <row r="18" spans="1:5">
      <c r="A18" t="s">
        <v>33</v>
      </c>
      <c r="B18">
        <v>2</v>
      </c>
      <c r="C18">
        <v>10</v>
      </c>
      <c r="D18" s="10">
        <f t="shared" si="0"/>
        <v>0.43200000000000005</v>
      </c>
    </row>
    <row r="19" spans="1:5">
      <c r="A19" t="s">
        <v>34</v>
      </c>
      <c r="B19">
        <v>6</v>
      </c>
      <c r="C19">
        <v>20</v>
      </c>
      <c r="D19" s="10">
        <f t="shared" si="0"/>
        <v>2.5920000000000005</v>
      </c>
    </row>
    <row r="20" spans="1:5">
      <c r="A20" t="s">
        <v>35</v>
      </c>
      <c r="B20">
        <v>12</v>
      </c>
      <c r="C20">
        <v>6</v>
      </c>
      <c r="D20" s="10">
        <f t="shared" si="0"/>
        <v>1.5552000000000001</v>
      </c>
    </row>
    <row r="21" spans="1:5">
      <c r="A21" t="s">
        <v>36</v>
      </c>
      <c r="B21">
        <v>5</v>
      </c>
      <c r="C21">
        <v>20</v>
      </c>
      <c r="D21" s="10">
        <f t="shared" si="0"/>
        <v>2.16</v>
      </c>
    </row>
    <row r="22" spans="1:5">
      <c r="A22" t="s">
        <v>37</v>
      </c>
      <c r="B22">
        <v>3</v>
      </c>
      <c r="C22">
        <v>10</v>
      </c>
      <c r="D22" s="10">
        <f t="shared" si="0"/>
        <v>0.64800000000000013</v>
      </c>
    </row>
    <row r="23" spans="1:5">
      <c r="A23" t="s">
        <v>38</v>
      </c>
      <c r="B23">
        <v>3</v>
      </c>
      <c r="C23">
        <v>13</v>
      </c>
      <c r="D23" s="10">
        <f t="shared" si="0"/>
        <v>0.84240000000000015</v>
      </c>
    </row>
    <row r="24" spans="1:5">
      <c r="A24" t="s">
        <v>39</v>
      </c>
      <c r="B24">
        <v>2</v>
      </c>
      <c r="C24">
        <v>8</v>
      </c>
      <c r="D24" s="10">
        <f t="shared" si="0"/>
        <v>0.34560000000000002</v>
      </c>
    </row>
    <row r="25" spans="1:5">
      <c r="A25" t="s">
        <v>52</v>
      </c>
      <c r="B25">
        <v>1</v>
      </c>
      <c r="C25">
        <v>3</v>
      </c>
      <c r="D25" s="10">
        <f t="shared" si="0"/>
        <v>6.480000000000001E-2</v>
      </c>
    </row>
    <row r="26" spans="1:5">
      <c r="A26" t="s">
        <v>40</v>
      </c>
      <c r="D26" s="10">
        <f>E26</f>
        <v>0.72260999999999997</v>
      </c>
      <c r="E26">
        <f>0.279*2.59</f>
        <v>0.72260999999999997</v>
      </c>
    </row>
    <row r="27" spans="1:5">
      <c r="A27" t="s">
        <v>41</v>
      </c>
      <c r="B27">
        <v>4</v>
      </c>
      <c r="C27">
        <v>6</v>
      </c>
      <c r="D27" s="10">
        <f t="shared" si="0"/>
        <v>0.51840000000000008</v>
      </c>
    </row>
    <row r="28" spans="1:5">
      <c r="A28" t="s">
        <v>53</v>
      </c>
      <c r="B28">
        <v>3</v>
      </c>
      <c r="C28">
        <v>6</v>
      </c>
      <c r="D28" s="10">
        <f t="shared" si="0"/>
        <v>0.38880000000000003</v>
      </c>
    </row>
    <row r="29" spans="1:5">
      <c r="A29" t="s">
        <v>42</v>
      </c>
      <c r="B29">
        <v>1</v>
      </c>
      <c r="C29">
        <v>3</v>
      </c>
      <c r="D29" s="10">
        <f t="shared" si="0"/>
        <v>6.480000000000001E-2</v>
      </c>
    </row>
    <row r="30" spans="1:5">
      <c r="A30" t="s">
        <v>43</v>
      </c>
      <c r="B30">
        <v>2</v>
      </c>
      <c r="C30">
        <v>11</v>
      </c>
      <c r="D30" s="10">
        <f t="shared" si="0"/>
        <v>0.47520000000000007</v>
      </c>
    </row>
    <row r="31" spans="1:5">
      <c r="A31" t="s">
        <v>44</v>
      </c>
      <c r="B31">
        <v>4</v>
      </c>
      <c r="C31">
        <v>10</v>
      </c>
      <c r="D31" s="10">
        <f t="shared" si="0"/>
        <v>0.8640000000000001</v>
      </c>
    </row>
    <row r="32" spans="1:5">
      <c r="A32" t="s">
        <v>46</v>
      </c>
      <c r="B32">
        <v>1</v>
      </c>
      <c r="C32">
        <v>3</v>
      </c>
      <c r="D32" s="10">
        <f t="shared" si="0"/>
        <v>6.480000000000001E-2</v>
      </c>
    </row>
    <row r="33" spans="1:4">
      <c r="A33" t="s">
        <v>47</v>
      </c>
      <c r="B33">
        <v>6</v>
      </c>
      <c r="C33">
        <v>37</v>
      </c>
      <c r="D33" s="10">
        <f t="shared" si="0"/>
        <v>4.7952000000000004</v>
      </c>
    </row>
    <row r="34" spans="1:4">
      <c r="A34" t="s">
        <v>62</v>
      </c>
      <c r="B34">
        <v>4</v>
      </c>
      <c r="C34">
        <v>51</v>
      </c>
      <c r="D34" s="10">
        <f t="shared" si="0"/>
        <v>4.4064000000000005</v>
      </c>
    </row>
    <row r="35" spans="1:4">
      <c r="A35" t="s">
        <v>48</v>
      </c>
      <c r="B35">
        <v>4</v>
      </c>
      <c r="C35">
        <v>45</v>
      </c>
      <c r="D35" s="10">
        <f t="shared" si="0"/>
        <v>3.8880000000000003</v>
      </c>
    </row>
    <row r="36" spans="1:4">
      <c r="A36" t="s">
        <v>49</v>
      </c>
      <c r="B36">
        <v>5</v>
      </c>
      <c r="C36">
        <v>14</v>
      </c>
      <c r="D36" s="10">
        <f t="shared" si="0"/>
        <v>1.5120000000000002</v>
      </c>
    </row>
  </sheetData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A1:AP69"/>
  <sheetViews>
    <sheetView tabSelected="1" zoomScale="90" zoomScaleNormal="90" workbookViewId="0"/>
  </sheetViews>
  <sheetFormatPr defaultRowHeight="15"/>
  <cols>
    <col min="1" max="1" width="4.28515625" bestFit="1" customWidth="1"/>
    <col min="2" max="2" width="24.42578125" customWidth="1"/>
    <col min="3" max="6" width="14.5703125" customWidth="1"/>
    <col min="7" max="7" width="5.42578125" bestFit="1" customWidth="1"/>
    <col min="8" max="8" width="9.28515625" customWidth="1"/>
    <col min="9" max="11" width="4.42578125" customWidth="1"/>
    <col min="12" max="12" width="4.85546875" customWidth="1"/>
    <col min="13" max="42" width="4.42578125" customWidth="1"/>
  </cols>
  <sheetData>
    <row r="1" spans="1:42" ht="15.75" thickBot="1"/>
    <row r="2" spans="1:42" ht="15.75" thickBot="1">
      <c r="A2" t="s">
        <v>278</v>
      </c>
      <c r="B2" t="str">
        <f>VLOOKUP(C2,$B$35:$C$69,2,FALSE)</f>
        <v>East Village</v>
      </c>
      <c r="C2" s="6">
        <v>5</v>
      </c>
    </row>
    <row r="3" spans="1:42" ht="15.75" thickBot="1">
      <c r="A3" t="s">
        <v>274</v>
      </c>
      <c r="B3" t="str">
        <f>VLOOKUP(C3,$B$35:$C$69,2,FALSE)</f>
        <v>Upper West Side</v>
      </c>
      <c r="C3" s="6">
        <v>33</v>
      </c>
      <c r="G3" t="s">
        <v>285</v>
      </c>
      <c r="H3" s="90">
        <f>RANK(H28,$H$28:$AP$28)</f>
        <v>21</v>
      </c>
      <c r="I3" s="90">
        <f t="shared" ref="I3:AP3" si="0">RANK(I28,$H$28:$AP$28)</f>
        <v>8</v>
      </c>
      <c r="J3" s="90">
        <f t="shared" si="0"/>
        <v>23</v>
      </c>
      <c r="K3" s="90">
        <f t="shared" si="0"/>
        <v>35</v>
      </c>
      <c r="L3" s="90">
        <f t="shared" si="0"/>
        <v>1</v>
      </c>
      <c r="M3" s="90">
        <f t="shared" si="0"/>
        <v>18</v>
      </c>
      <c r="N3" s="90">
        <f t="shared" si="0"/>
        <v>15</v>
      </c>
      <c r="O3" s="90">
        <f t="shared" si="0"/>
        <v>17</v>
      </c>
      <c r="P3" s="90">
        <f t="shared" si="0"/>
        <v>19</v>
      </c>
      <c r="Q3" s="90">
        <f t="shared" si="0"/>
        <v>9</v>
      </c>
      <c r="R3" s="90">
        <f t="shared" si="0"/>
        <v>31</v>
      </c>
      <c r="S3" s="90">
        <f t="shared" si="0"/>
        <v>33</v>
      </c>
      <c r="T3" s="90">
        <f t="shared" si="0"/>
        <v>26</v>
      </c>
      <c r="U3" s="90">
        <f t="shared" si="0"/>
        <v>16</v>
      </c>
      <c r="V3" s="90">
        <f t="shared" si="0"/>
        <v>29</v>
      </c>
      <c r="W3" s="90">
        <f t="shared" si="0"/>
        <v>14</v>
      </c>
      <c r="X3" s="90">
        <f t="shared" si="0"/>
        <v>11</v>
      </c>
      <c r="Y3" s="90">
        <f t="shared" si="0"/>
        <v>4</v>
      </c>
      <c r="Z3" s="90">
        <f t="shared" si="0"/>
        <v>25</v>
      </c>
      <c r="AA3" s="90">
        <f t="shared" si="0"/>
        <v>12</v>
      </c>
      <c r="AB3" s="90">
        <f t="shared" si="0"/>
        <v>30</v>
      </c>
      <c r="AC3" s="90">
        <f t="shared" si="0"/>
        <v>13</v>
      </c>
      <c r="AD3" s="90">
        <f t="shared" si="0"/>
        <v>27</v>
      </c>
      <c r="AE3" s="90">
        <f t="shared" si="0"/>
        <v>24</v>
      </c>
      <c r="AF3" s="90">
        <f t="shared" si="0"/>
        <v>34</v>
      </c>
      <c r="AG3" s="90">
        <f t="shared" si="0"/>
        <v>7</v>
      </c>
      <c r="AH3" s="90">
        <f t="shared" si="0"/>
        <v>22</v>
      </c>
      <c r="AI3" s="90">
        <f t="shared" si="0"/>
        <v>20</v>
      </c>
      <c r="AJ3" s="90">
        <f t="shared" si="0"/>
        <v>6</v>
      </c>
      <c r="AK3" s="90">
        <f t="shared" si="0"/>
        <v>28</v>
      </c>
      <c r="AL3" s="90">
        <f t="shared" si="0"/>
        <v>10</v>
      </c>
      <c r="AM3" s="90">
        <f t="shared" si="0"/>
        <v>3</v>
      </c>
      <c r="AN3" s="90">
        <f t="shared" si="0"/>
        <v>2</v>
      </c>
      <c r="AO3" s="90">
        <f t="shared" si="0"/>
        <v>32</v>
      </c>
      <c r="AP3" s="90">
        <f t="shared" si="0"/>
        <v>5</v>
      </c>
    </row>
    <row r="4" spans="1:42" ht="15.75" thickBot="1">
      <c r="A4" t="s">
        <v>275</v>
      </c>
      <c r="B4" t="str">
        <f>VLOOKUP(C4,$B$35:$C$69,2,FALSE)</f>
        <v>Midtown East</v>
      </c>
      <c r="C4" s="6">
        <v>18</v>
      </c>
      <c r="D4" s="65"/>
      <c r="E4" s="65"/>
    </row>
    <row r="5" spans="1:42">
      <c r="C5" s="65"/>
      <c r="D5" s="65"/>
      <c r="E5" s="65"/>
      <c r="H5" s="107">
        <v>1</v>
      </c>
      <c r="I5" s="108">
        <f t="shared" ref="I5:AP5" si="1">+H5+1</f>
        <v>2</v>
      </c>
      <c r="J5" s="108">
        <f t="shared" si="1"/>
        <v>3</v>
      </c>
      <c r="K5" s="108">
        <f t="shared" si="1"/>
        <v>4</v>
      </c>
      <c r="L5" s="108">
        <f t="shared" si="1"/>
        <v>5</v>
      </c>
      <c r="M5" s="108">
        <f t="shared" si="1"/>
        <v>6</v>
      </c>
      <c r="N5" s="108">
        <f t="shared" si="1"/>
        <v>7</v>
      </c>
      <c r="O5" s="108">
        <f t="shared" si="1"/>
        <v>8</v>
      </c>
      <c r="P5" s="108">
        <f t="shared" si="1"/>
        <v>9</v>
      </c>
      <c r="Q5" s="108">
        <f t="shared" si="1"/>
        <v>10</v>
      </c>
      <c r="R5" s="108">
        <f t="shared" si="1"/>
        <v>11</v>
      </c>
      <c r="S5" s="108">
        <f t="shared" si="1"/>
        <v>12</v>
      </c>
      <c r="T5" s="108">
        <f t="shared" si="1"/>
        <v>13</v>
      </c>
      <c r="U5" s="108">
        <f t="shared" si="1"/>
        <v>14</v>
      </c>
      <c r="V5" s="108">
        <f t="shared" si="1"/>
        <v>15</v>
      </c>
      <c r="W5" s="108">
        <f t="shared" si="1"/>
        <v>16</v>
      </c>
      <c r="X5" s="108">
        <f t="shared" si="1"/>
        <v>17</v>
      </c>
      <c r="Y5" s="108">
        <f t="shared" si="1"/>
        <v>18</v>
      </c>
      <c r="Z5" s="108">
        <f t="shared" si="1"/>
        <v>19</v>
      </c>
      <c r="AA5" s="108">
        <f t="shared" si="1"/>
        <v>20</v>
      </c>
      <c r="AB5" s="108">
        <f t="shared" si="1"/>
        <v>21</v>
      </c>
      <c r="AC5" s="108">
        <f t="shared" si="1"/>
        <v>22</v>
      </c>
      <c r="AD5" s="108">
        <f t="shared" si="1"/>
        <v>23</v>
      </c>
      <c r="AE5" s="108">
        <f t="shared" si="1"/>
        <v>24</v>
      </c>
      <c r="AF5" s="108">
        <f t="shared" si="1"/>
        <v>25</v>
      </c>
      <c r="AG5" s="108">
        <f t="shared" si="1"/>
        <v>26</v>
      </c>
      <c r="AH5" s="108">
        <f t="shared" si="1"/>
        <v>27</v>
      </c>
      <c r="AI5" s="108">
        <f t="shared" si="1"/>
        <v>28</v>
      </c>
      <c r="AJ5" s="108">
        <f t="shared" si="1"/>
        <v>29</v>
      </c>
      <c r="AK5" s="108">
        <f t="shared" si="1"/>
        <v>30</v>
      </c>
      <c r="AL5" s="108">
        <f t="shared" si="1"/>
        <v>31</v>
      </c>
      <c r="AM5" s="108">
        <f t="shared" si="1"/>
        <v>32</v>
      </c>
      <c r="AN5" s="108">
        <f t="shared" si="1"/>
        <v>33</v>
      </c>
      <c r="AO5" s="108">
        <f t="shared" si="1"/>
        <v>34</v>
      </c>
      <c r="AP5" s="109">
        <f t="shared" si="1"/>
        <v>35</v>
      </c>
    </row>
    <row r="6" spans="1:42" ht="157.5">
      <c r="C6" s="73" t="s">
        <v>278</v>
      </c>
      <c r="D6" s="73" t="s">
        <v>274</v>
      </c>
      <c r="E6" s="73" t="s">
        <v>275</v>
      </c>
      <c r="H6" s="110" t="s">
        <v>11</v>
      </c>
      <c r="I6" s="111" t="s">
        <v>13</v>
      </c>
      <c r="J6" s="111" t="s">
        <v>14</v>
      </c>
      <c r="K6" s="111" t="s">
        <v>17</v>
      </c>
      <c r="L6" s="111" t="s">
        <v>18</v>
      </c>
      <c r="M6" s="111" t="s">
        <v>19</v>
      </c>
      <c r="N6" s="111" t="s">
        <v>20</v>
      </c>
      <c r="O6" s="111" t="s">
        <v>21</v>
      </c>
      <c r="P6" s="111" t="s">
        <v>22</v>
      </c>
      <c r="Q6" s="111" t="s">
        <v>23</v>
      </c>
      <c r="R6" s="111" t="s">
        <v>25</v>
      </c>
      <c r="S6" s="111" t="s">
        <v>27</v>
      </c>
      <c r="T6" s="111" t="s">
        <v>28</v>
      </c>
      <c r="U6" s="111" t="s">
        <v>29</v>
      </c>
      <c r="V6" s="111" t="s">
        <v>61</v>
      </c>
      <c r="W6" s="111" t="s">
        <v>31</v>
      </c>
      <c r="X6" s="111" t="s">
        <v>33</v>
      </c>
      <c r="Y6" s="111" t="s">
        <v>34</v>
      </c>
      <c r="Z6" s="111" t="s">
        <v>35</v>
      </c>
      <c r="AA6" s="111" t="s">
        <v>36</v>
      </c>
      <c r="AB6" s="111" t="s">
        <v>37</v>
      </c>
      <c r="AC6" s="111" t="s">
        <v>38</v>
      </c>
      <c r="AD6" s="111" t="s">
        <v>39</v>
      </c>
      <c r="AE6" s="111" t="s">
        <v>52</v>
      </c>
      <c r="AF6" s="111" t="s">
        <v>40</v>
      </c>
      <c r="AG6" s="111" t="s">
        <v>41</v>
      </c>
      <c r="AH6" s="111" t="s">
        <v>53</v>
      </c>
      <c r="AI6" s="111" t="s">
        <v>42</v>
      </c>
      <c r="AJ6" s="111" t="s">
        <v>43</v>
      </c>
      <c r="AK6" s="111" t="s">
        <v>44</v>
      </c>
      <c r="AL6" s="111" t="s">
        <v>46</v>
      </c>
      <c r="AM6" s="111" t="s">
        <v>47</v>
      </c>
      <c r="AN6" s="111" t="s">
        <v>62</v>
      </c>
      <c r="AO6" s="111" t="s">
        <v>48</v>
      </c>
      <c r="AP6" s="112" t="s">
        <v>49</v>
      </c>
    </row>
    <row r="7" spans="1:42">
      <c r="B7" t="s">
        <v>68</v>
      </c>
      <c r="C7" s="5">
        <f>IF(Travel!C142="DQ",-(10^6),Travel!C142*Inputs!B9)</f>
        <v>23.726694824201815</v>
      </c>
      <c r="D7" s="5">
        <f>IF(Travel!C143="DQ",-(10^6),Travel!C143*Inputs!B9)</f>
        <v>9.3571595650572412</v>
      </c>
      <c r="E7" s="5">
        <f>IF(Travel!C144="DQ",-(10^6),Travel!C144*Inputs!B9)</f>
        <v>12.840242321230374</v>
      </c>
      <c r="H7" s="95">
        <f>Travel!E156</f>
        <v>24.08790893043302</v>
      </c>
      <c r="I7" s="96">
        <f>Travel!F156</f>
        <v>20.179322086119519</v>
      </c>
      <c r="J7" s="96">
        <f>Travel!G156</f>
        <v>26.380834769598998</v>
      </c>
      <c r="K7" s="96">
        <f>Travel!H156</f>
        <v>-100000</v>
      </c>
      <c r="L7" s="96">
        <f>Travel!I156</f>
        <v>23.726694824201815</v>
      </c>
      <c r="M7" s="96">
        <f>Travel!J156</f>
        <v>25.911761143957442</v>
      </c>
      <c r="N7" s="96">
        <f>Travel!K156</f>
        <v>21.736408134044581</v>
      </c>
      <c r="O7" s="96">
        <f>Travel!L156</f>
        <v>15.633698646641239</v>
      </c>
      <c r="P7" s="96">
        <f>Travel!M156</f>
        <v>21.194348332570119</v>
      </c>
      <c r="Q7" s="96">
        <f>Travel!N156</f>
        <v>21.736408134044581</v>
      </c>
      <c r="R7" s="96">
        <f>Travel!O156</f>
        <v>-100000</v>
      </c>
      <c r="S7" s="96">
        <f>Travel!P156</f>
        <v>-100000</v>
      </c>
      <c r="T7" s="96">
        <f>Travel!Q156</f>
        <v>20.973007135778047</v>
      </c>
      <c r="U7" s="96">
        <f>Travel!R156</f>
        <v>11.053602496787532</v>
      </c>
      <c r="V7" s="96">
        <f>Travel!S156</f>
        <v>24.605527610881218</v>
      </c>
      <c r="W7" s="96">
        <f>Travel!T156</f>
        <v>20.861403776003758</v>
      </c>
      <c r="X7" s="96">
        <f>Travel!U156</f>
        <v>15.506316177335936</v>
      </c>
      <c r="Y7" s="96">
        <f>Travel!V156</f>
        <v>12.840242321230374</v>
      </c>
      <c r="Z7" s="96">
        <f>Travel!W156</f>
        <v>15.506316177335936</v>
      </c>
      <c r="AA7" s="96">
        <f>Travel!X156</f>
        <v>6.9302233906723245</v>
      </c>
      <c r="AB7" s="96">
        <f>Travel!Y156</f>
        <v>-100000</v>
      </c>
      <c r="AC7" s="96">
        <f>Travel!Z156</f>
        <v>21.083991687738383</v>
      </c>
      <c r="AD7" s="96">
        <f>Travel!AA156</f>
        <v>24.771541365818813</v>
      </c>
      <c r="AE7" s="96">
        <f>Travel!AB156</f>
        <v>24.605527610881218</v>
      </c>
      <c r="AF7" s="96">
        <f>Travel!AC156</f>
        <v>-100000</v>
      </c>
      <c r="AG7" s="96">
        <f>Travel!AD156</f>
        <v>24.853317533354595</v>
      </c>
      <c r="AH7" s="96">
        <f>Travel!AE156</f>
        <v>16.648964986646085</v>
      </c>
      <c r="AI7" s="96">
        <f>Travel!AF156</f>
        <v>8.0454393302768725</v>
      </c>
      <c r="AJ7" s="96">
        <f>Travel!AG156</f>
        <v>11.174346589687779</v>
      </c>
      <c r="AK7" s="96">
        <f>Travel!AH156</f>
        <v>21.842817223680719</v>
      </c>
      <c r="AL7" s="96">
        <f>Travel!AI156</f>
        <v>23.908900658695842</v>
      </c>
      <c r="AM7" s="96">
        <f>Travel!AJ156</f>
        <v>10.87329911295314</v>
      </c>
      <c r="AN7" s="96">
        <f>Travel!AK156</f>
        <v>9.3571595650572412</v>
      </c>
      <c r="AO7" s="96">
        <f>Travel!AL156</f>
        <v>-100000</v>
      </c>
      <c r="AP7" s="97">
        <f>Travel!AM156</f>
        <v>21.629320671719348</v>
      </c>
    </row>
    <row r="8" spans="1:42">
      <c r="B8" t="s">
        <v>279</v>
      </c>
      <c r="C8" s="5">
        <f>Bars!I40</f>
        <v>43.269151563070906</v>
      </c>
      <c r="D8" s="5">
        <f>Bars!I41</f>
        <v>114.19859783089605</v>
      </c>
      <c r="E8" s="5">
        <f>Bars!I42</f>
        <v>114.44224719602951</v>
      </c>
      <c r="H8" s="98">
        <f>INDEX(Bars!$E$4:$O$38,MATCH(OBJ!H$6,Bars!$B$4:$B$38,FALSE),MATCH("User Scaled Score 1",Bars!$E$3:$O$3,FALSE))</f>
        <v>60.219884845639456</v>
      </c>
      <c r="I8" s="99">
        <f>INDEX(Bars!$E$4:$O$38,MATCH(OBJ!I$6,Bars!$B$4:$B$38,FALSE),MATCH("User Scaled Score 1",Bars!$E$3:$O$3,FALSE))</f>
        <v>1.1887413342642983</v>
      </c>
      <c r="J8" s="99">
        <f>INDEX(Bars!$E$4:$O$38,MATCH(OBJ!J$6,Bars!$B$4:$B$38,FALSE),MATCH("User Scaled Score 1",Bars!$E$3:$O$3,FALSE))</f>
        <v>60.219884845639456</v>
      </c>
      <c r="K8" s="99">
        <f>INDEX(Bars!$E$4:$O$38,MATCH(OBJ!K$6,Bars!$B$4:$B$38,FALSE),MATCH("User Scaled Score 1",Bars!$E$3:$O$3,FALSE))</f>
        <v>17.728681925213557</v>
      </c>
      <c r="L8" s="99">
        <f>INDEX(Bars!$E$4:$O$38,MATCH(OBJ!L$6,Bars!$B$4:$B$38,FALSE),MATCH("User Scaled Score 1",Bars!$E$3:$O$3,FALSE))</f>
        <v>43.269151563070906</v>
      </c>
      <c r="M8" s="99">
        <f>INDEX(Bars!$E$4:$O$38,MATCH(OBJ!M$6,Bars!$B$4:$B$38,FALSE),MATCH("User Scaled Score 1",Bars!$E$3:$O$3,FALSE))</f>
        <v>60.219884845639456</v>
      </c>
      <c r="N8" s="99">
        <f>INDEX(Bars!$E$4:$O$38,MATCH(OBJ!N$6,Bars!$B$4:$B$38,FALSE),MATCH("User Scaled Score 1",Bars!$E$3:$O$3,FALSE))</f>
        <v>67.246079652194965</v>
      </c>
      <c r="O8" s="99">
        <f>INDEX(Bars!$E$4:$O$38,MATCH(OBJ!O$6,Bars!$B$4:$B$38,FALSE),MATCH("User Scaled Score 1",Bars!$E$3:$O$3,FALSE))</f>
        <v>109.1990282847228</v>
      </c>
      <c r="P8" s="99">
        <f>INDEX(Bars!$E$4:$O$38,MATCH(OBJ!P$6,Bars!$B$4:$B$38,FALSE),MATCH("User Scaled Score 1",Bars!$E$3:$O$3,FALSE))</f>
        <v>67.246079652194965</v>
      </c>
      <c r="Q8" s="99">
        <f>INDEX(Bars!$E$4:$O$38,MATCH(OBJ!Q$6,Bars!$B$4:$B$38,FALSE),MATCH("User Scaled Score 1",Bars!$E$3:$O$3,FALSE))</f>
        <v>67.920320200231743</v>
      </c>
      <c r="R8" s="99">
        <f>INDEX(Bars!$E$4:$O$38,MATCH(OBJ!R$6,Bars!$B$4:$B$38,FALSE),MATCH("User Scaled Score 1",Bars!$E$3:$O$3,FALSE))</f>
        <v>17.728681925213557</v>
      </c>
      <c r="S8" s="99">
        <f>INDEX(Bars!$E$4:$O$38,MATCH(OBJ!S$6,Bars!$B$4:$B$38,FALSE),MATCH("User Scaled Score 1",Bars!$E$3:$O$3,FALSE))</f>
        <v>17.728681925213557</v>
      </c>
      <c r="T8" s="99">
        <f>INDEX(Bars!$E$4:$O$38,MATCH(OBJ!T$6,Bars!$B$4:$B$38,FALSE),MATCH("User Scaled Score 1",Bars!$E$3:$O$3,FALSE))</f>
        <v>23.836677276226553</v>
      </c>
      <c r="U8" s="99">
        <f>INDEX(Bars!$E$4:$O$38,MATCH(OBJ!U$6,Bars!$B$4:$B$38,FALSE),MATCH("User Scaled Score 1",Bars!$E$3:$O$3,FALSE))</f>
        <v>109.1990282847228</v>
      </c>
      <c r="V8" s="99">
        <f>INDEX(Bars!$E$4:$O$38,MATCH(OBJ!V$6,Bars!$B$4:$B$38,FALSE),MATCH("User Scaled Score 1",Bars!$E$3:$O$3,FALSE))</f>
        <v>60.219884845639456</v>
      </c>
      <c r="W8" s="99">
        <f>INDEX(Bars!$E$4:$O$38,MATCH(OBJ!W$6,Bars!$B$4:$B$38,FALSE),MATCH("User Scaled Score 1",Bars!$E$3:$O$3,FALSE))</f>
        <v>43.269151563070906</v>
      </c>
      <c r="X8" s="99">
        <f>INDEX(Bars!$E$4:$O$38,MATCH(OBJ!X$6,Bars!$B$4:$B$38,FALSE),MATCH("User Scaled Score 1",Bars!$E$3:$O$3,FALSE))</f>
        <v>111.08380674312465</v>
      </c>
      <c r="Y8" s="99">
        <f>INDEX(Bars!$E$4:$O$38,MATCH(OBJ!Y$6,Bars!$B$4:$B$38,FALSE),MATCH("User Scaled Score 1",Bars!$E$3:$O$3,FALSE))</f>
        <v>114.44224719602951</v>
      </c>
      <c r="Z8" s="99">
        <f>INDEX(Bars!$E$4:$O$38,MATCH(OBJ!Z$6,Bars!$B$4:$B$38,FALSE),MATCH("User Scaled Score 1",Bars!$E$3:$O$3,FALSE))</f>
        <v>1.1887413342642983</v>
      </c>
      <c r="AA8" s="99">
        <f>INDEX(Bars!$E$4:$O$38,MATCH(OBJ!AA$6,Bars!$B$4:$B$38,FALSE),MATCH("User Scaled Score 1",Bars!$E$3:$O$3,FALSE))</f>
        <v>109.1990282847228</v>
      </c>
      <c r="AB8" s="99">
        <f>INDEX(Bars!$E$4:$O$38,MATCH(OBJ!AB$6,Bars!$B$4:$B$38,FALSE),MATCH("User Scaled Score 1",Bars!$E$3:$O$3,FALSE))</f>
        <v>17.728681925213557</v>
      </c>
      <c r="AC8" s="99">
        <f>INDEX(Bars!$E$4:$O$38,MATCH(OBJ!AC$6,Bars!$B$4:$B$38,FALSE),MATCH("User Scaled Score 1",Bars!$E$3:$O$3,FALSE))</f>
        <v>23.836677276226553</v>
      </c>
      <c r="AD8" s="99">
        <f>INDEX(Bars!$E$4:$O$38,MATCH(OBJ!AD$6,Bars!$B$4:$B$38,FALSE),MATCH("User Scaled Score 1",Bars!$E$3:$O$3,FALSE))</f>
        <v>67.920320200231743</v>
      </c>
      <c r="AE8" s="99">
        <f>INDEX(Bars!$E$4:$O$38,MATCH(OBJ!AE$6,Bars!$B$4:$B$38,FALSE),MATCH("User Scaled Score 1",Bars!$E$3:$O$3,FALSE))</f>
        <v>67.920320200231743</v>
      </c>
      <c r="AF8" s="99">
        <f>INDEX(Bars!$E$4:$O$38,MATCH(OBJ!AF$6,Bars!$B$4:$B$38,FALSE),MATCH("User Scaled Score 1",Bars!$E$3:$O$3,FALSE))</f>
        <v>79.418425861764604</v>
      </c>
      <c r="AG8" s="99">
        <f>INDEX(Bars!$E$4:$O$38,MATCH(OBJ!AG$6,Bars!$B$4:$B$38,FALSE),MATCH("User Scaled Score 1",Bars!$E$3:$O$3,FALSE))</f>
        <v>60.219884845639456</v>
      </c>
      <c r="AH8" s="99">
        <f>INDEX(Bars!$E$4:$O$38,MATCH(OBJ!AH$6,Bars!$B$4:$B$38,FALSE),MATCH("User Scaled Score 1",Bars!$E$3:$O$3,FALSE))</f>
        <v>67.246079652194965</v>
      </c>
      <c r="AI8" s="99">
        <f>INDEX(Bars!$E$4:$O$38,MATCH(OBJ!AI$6,Bars!$B$4:$B$38,FALSE),MATCH("User Scaled Score 1",Bars!$E$3:$O$3,FALSE))</f>
        <v>79.418425861764604</v>
      </c>
      <c r="AJ8" s="99">
        <f>INDEX(Bars!$E$4:$O$38,MATCH(OBJ!AJ$6,Bars!$B$4:$B$38,FALSE),MATCH("User Scaled Score 1",Bars!$E$3:$O$3,FALSE))</f>
        <v>111.08380674312465</v>
      </c>
      <c r="AK8" s="99">
        <f>INDEX(Bars!$E$4:$O$38,MATCH(OBJ!AK$6,Bars!$B$4:$B$38,FALSE),MATCH("User Scaled Score 1",Bars!$E$3:$O$3,FALSE))</f>
        <v>60.219884845639456</v>
      </c>
      <c r="AL8" s="99">
        <f>INDEX(Bars!$E$4:$O$38,MATCH(OBJ!AL$6,Bars!$B$4:$B$38,FALSE),MATCH("User Scaled Score 1",Bars!$E$3:$O$3,FALSE))</f>
        <v>43.269151563070906</v>
      </c>
      <c r="AM8" s="99">
        <f>INDEX(Bars!$E$4:$O$38,MATCH(OBJ!AM$6,Bars!$B$4:$B$38,FALSE),MATCH("User Scaled Score 1",Bars!$E$3:$O$3,FALSE))</f>
        <v>79.418425861764604</v>
      </c>
      <c r="AN8" s="99">
        <f>INDEX(Bars!$E$4:$O$38,MATCH(OBJ!AN$6,Bars!$B$4:$B$38,FALSE),MATCH("User Scaled Score 1",Bars!$E$3:$O$3,FALSE))</f>
        <v>114.19859783089605</v>
      </c>
      <c r="AO8" s="99">
        <f>INDEX(Bars!$E$4:$O$38,MATCH(OBJ!AO$6,Bars!$B$4:$B$38,FALSE),MATCH("User Scaled Score 1",Bars!$E$3:$O$3,FALSE))</f>
        <v>17.728681925213557</v>
      </c>
      <c r="AP8" s="100">
        <f>INDEX(Bars!$E$4:$O$38,MATCH(OBJ!AP$6,Bars!$B$4:$B$38,FALSE),MATCH("User Scaled Score 1",Bars!$E$3:$O$3,FALSE))</f>
        <v>67.920320200231743</v>
      </c>
    </row>
    <row r="9" spans="1:42">
      <c r="B9" t="s">
        <v>280</v>
      </c>
      <c r="C9" s="5">
        <f>Bars!O40</f>
        <v>8.2423597435985414</v>
      </c>
      <c r="D9" s="5">
        <f>Bars!O41</f>
        <v>4.1060880248210143</v>
      </c>
      <c r="E9" s="5">
        <f>Bars!O42</f>
        <v>6.9282486805380614</v>
      </c>
      <c r="H9" s="98">
        <f>INDEX(Bars!$E$4:$O$38,MATCH(OBJ!H$6,Bars!$B$4:$B$38,FALSE),MATCH("User Scaled Score 2",Bars!$E$3:$O$3,FALSE))</f>
        <v>97.942289633054173</v>
      </c>
      <c r="I9" s="99">
        <f>INDEX(Bars!$E$4:$O$38,MATCH(OBJ!I$6,Bars!$B$4:$B$38,FALSE),MATCH("User Scaled Score 2",Bars!$E$3:$O$3,FALSE))</f>
        <v>283.77460066585866</v>
      </c>
      <c r="J9" s="99">
        <f>INDEX(Bars!$E$4:$O$38,MATCH(OBJ!J$6,Bars!$B$4:$B$38,FALSE),MATCH("User Scaled Score 2",Bars!$E$3:$O$3,FALSE))</f>
        <v>201.1302192189153</v>
      </c>
      <c r="K9" s="99">
        <f>INDEX(Bars!$E$4:$O$38,MATCH(OBJ!K$6,Bars!$B$4:$B$38,FALSE),MATCH("User Scaled Score 2",Bars!$E$3:$O$3,FALSE))</f>
        <v>109.77405541548916</v>
      </c>
      <c r="L9" s="99">
        <f>INDEX(Bars!$E$4:$O$38,MATCH(OBJ!L$6,Bars!$B$4:$B$38,FALSE),MATCH("User Scaled Score 2",Bars!$E$3:$O$3,FALSE))</f>
        <v>469.81450538511683</v>
      </c>
      <c r="M9" s="99">
        <f>INDEX(Bars!$E$4:$O$38,MATCH(OBJ!M$6,Bars!$B$4:$B$38,FALSE),MATCH("User Scaled Score 2",Bars!$E$3:$O$3,FALSE))</f>
        <v>240.72604368834561</v>
      </c>
      <c r="N9" s="99">
        <f>INDEX(Bars!$E$4:$O$38,MATCH(OBJ!N$6,Bars!$B$4:$B$38,FALSE),MATCH("User Scaled Score 2",Bars!$E$3:$O$3,FALSE))</f>
        <v>368.91035439303948</v>
      </c>
      <c r="O9" s="99">
        <f>INDEX(Bars!$E$4:$O$38,MATCH(OBJ!O$6,Bars!$B$4:$B$38,FALSE),MATCH("User Scaled Score 2",Bars!$E$3:$O$3,FALSE))</f>
        <v>271.34059765752119</v>
      </c>
      <c r="P9" s="99">
        <f>INDEX(Bars!$E$4:$O$38,MATCH(OBJ!P$6,Bars!$B$4:$B$38,FALSE),MATCH("User Scaled Score 2",Bars!$E$3:$O$3,FALSE))</f>
        <v>215.91723888655807</v>
      </c>
      <c r="Q9" s="99">
        <f>INDEX(Bars!$E$4:$O$38,MATCH(OBJ!Q$6,Bars!$B$4:$B$38,FALSE),MATCH("User Scaled Score 2",Bars!$E$3:$O$3,FALSE))</f>
        <v>264.0337042823333</v>
      </c>
      <c r="R9" s="99">
        <f>INDEX(Bars!$E$4:$O$38,MATCH(OBJ!R$6,Bars!$B$4:$B$38,FALSE),MATCH("User Scaled Score 2",Bars!$E$3:$O$3,FALSE))</f>
        <v>148.52913614592049</v>
      </c>
      <c r="S9" s="99">
        <f>INDEX(Bars!$E$4:$O$38,MATCH(OBJ!S$6,Bars!$B$4:$B$38,FALSE),MATCH("User Scaled Score 2",Bars!$E$3:$O$3,FALSE))</f>
        <v>142.85641092972145</v>
      </c>
      <c r="T9" s="99">
        <f>INDEX(Bars!$E$4:$O$38,MATCH(OBJ!T$6,Bars!$B$4:$B$38,FALSE),MATCH("User Scaled Score 2",Bars!$E$3:$O$3,FALSE))</f>
        <v>218.12262866309172</v>
      </c>
      <c r="U9" s="99">
        <f>INDEX(Bars!$E$4:$O$38,MATCH(OBJ!U$6,Bars!$B$4:$B$38,FALSE),MATCH("User Scaled Score 2",Bars!$E$3:$O$3,FALSE))</f>
        <v>300.18830950165386</v>
      </c>
      <c r="V9" s="99">
        <f>INDEX(Bars!$E$4:$O$38,MATCH(OBJ!V$6,Bars!$B$4:$B$38,FALSE),MATCH("User Scaled Score 2",Bars!$E$3:$O$3,FALSE))</f>
        <v>170.7277304647628</v>
      </c>
      <c r="W9" s="99">
        <f>INDEX(Bars!$E$4:$O$38,MATCH(OBJ!W$6,Bars!$B$4:$B$38,FALSE),MATCH("User Scaled Score 2",Bars!$E$3:$O$3,FALSE))</f>
        <v>483.19932359522556</v>
      </c>
      <c r="X9" s="99">
        <f>INDEX(Bars!$E$4:$O$38,MATCH(OBJ!X$6,Bars!$B$4:$B$38,FALSE),MATCH("User Scaled Score 2",Bars!$E$3:$O$3,FALSE))</f>
        <v>329.58380260768871</v>
      </c>
      <c r="Y9" s="99">
        <f>INDEX(Bars!$E$4:$O$38,MATCH(OBJ!Y$6,Bars!$B$4:$B$38,FALSE),MATCH("User Scaled Score 2",Bars!$E$3:$O$3,FALSE))</f>
        <v>394.91017479066949</v>
      </c>
      <c r="Z9" s="99">
        <f>INDEX(Bars!$E$4:$O$38,MATCH(OBJ!Z$6,Bars!$B$4:$B$38,FALSE),MATCH("User Scaled Score 2",Bars!$E$3:$O$3,FALSE))</f>
        <v>218.53624519994696</v>
      </c>
      <c r="AA9" s="99">
        <f>INDEX(Bars!$E$4:$O$38,MATCH(OBJ!AA$6,Bars!$B$4:$B$38,FALSE),MATCH("User Scaled Score 2",Bars!$E$3:$O$3,FALSE))</f>
        <v>208.11200172313929</v>
      </c>
      <c r="AB9" s="99">
        <f>INDEX(Bars!$E$4:$O$38,MATCH(OBJ!AB$6,Bars!$B$4:$B$38,FALSE),MATCH("User Scaled Score 2",Bars!$E$3:$O$3,FALSE))</f>
        <v>103.0590627951411</v>
      </c>
      <c r="AC9" s="99">
        <f>INDEX(Bars!$E$4:$O$38,MATCH(OBJ!AC$6,Bars!$B$4:$B$38,FALSE),MATCH("User Scaled Score 2",Bars!$E$3:$O$3,FALSE))</f>
        <v>434.7742753173618</v>
      </c>
      <c r="AD9" s="99">
        <f>INDEX(Bars!$E$4:$O$38,MATCH(OBJ!AD$6,Bars!$B$4:$B$38,FALSE),MATCH("User Scaled Score 2",Bars!$E$3:$O$3,FALSE))</f>
        <v>232.73041116521625</v>
      </c>
      <c r="AE9" s="99">
        <f>INDEX(Bars!$E$4:$O$38,MATCH(OBJ!AE$6,Bars!$B$4:$B$38,FALSE),MATCH("User Scaled Score 2",Bars!$E$3:$O$3,FALSE))</f>
        <v>366.95602879335769</v>
      </c>
      <c r="AF9" s="99">
        <f>INDEX(Bars!$E$4:$O$38,MATCH(OBJ!AF$6,Bars!$B$4:$B$38,FALSE),MATCH("User Scaled Score 2",Bars!$E$3:$O$3,FALSE))</f>
        <v>90.677992285552349</v>
      </c>
      <c r="AG9" s="99">
        <f>INDEX(Bars!$E$4:$O$38,MATCH(OBJ!AG$6,Bars!$B$4:$B$38,FALSE),MATCH("User Scaled Score 2",Bars!$E$3:$O$3,FALSE))</f>
        <v>339.79765472506875</v>
      </c>
      <c r="AH9" s="99">
        <f>INDEX(Bars!$E$4:$O$38,MATCH(OBJ!AH$6,Bars!$B$4:$B$38,FALSE),MATCH("User Scaled Score 2",Bars!$E$3:$O$3,FALSE))</f>
        <v>108.4191508355467</v>
      </c>
      <c r="AI9" s="99">
        <f>INDEX(Bars!$E$4:$O$38,MATCH(OBJ!AI$6,Bars!$B$4:$B$38,FALSE),MATCH("User Scaled Score 2",Bars!$E$3:$O$3,FALSE))</f>
        <v>266.63840903578995</v>
      </c>
      <c r="AJ9" s="99">
        <f>INDEX(Bars!$E$4:$O$38,MATCH(OBJ!AJ$6,Bars!$B$4:$B$38,FALSE),MATCH("User Scaled Score 2",Bars!$E$3:$O$3,FALSE))</f>
        <v>316.17441469098344</v>
      </c>
      <c r="AK9" s="99">
        <f>INDEX(Bars!$E$4:$O$38,MATCH(OBJ!AK$6,Bars!$B$4:$B$38,FALSE),MATCH("User Scaled Score 2",Bars!$E$3:$O$3,FALSE))</f>
        <v>256.02390149146129</v>
      </c>
      <c r="AL9" s="99">
        <f>INDEX(Bars!$E$4:$O$38,MATCH(OBJ!AL$6,Bars!$B$4:$B$38,FALSE),MATCH("User Scaled Score 2",Bars!$E$3:$O$3,FALSE))</f>
        <v>352.50209353772533</v>
      </c>
      <c r="AM9" s="99">
        <f>INDEX(Bars!$E$4:$O$38,MATCH(OBJ!AM$6,Bars!$B$4:$B$38,FALSE),MATCH("User Scaled Score 2",Bars!$E$3:$O$3,FALSE))</f>
        <v>321.18488513326321</v>
      </c>
      <c r="AN9" s="99">
        <f>INDEX(Bars!$E$4:$O$38,MATCH(OBJ!AN$6,Bars!$B$4:$B$38,FALSE),MATCH("User Scaled Score 2",Bars!$E$3:$O$3,FALSE))</f>
        <v>234.04701741479781</v>
      </c>
      <c r="AO9" s="99">
        <f>INDEX(Bars!$E$4:$O$38,MATCH(OBJ!AO$6,Bars!$B$4:$B$38,FALSE),MATCH("User Scaled Score 2",Bars!$E$3:$O$3,FALSE))</f>
        <v>236.11403399448986</v>
      </c>
      <c r="AP9" s="100">
        <f>INDEX(Bars!$E$4:$O$38,MATCH(OBJ!AP$6,Bars!$B$4:$B$38,FALSE),MATCH("User Scaled Score 2",Bars!$E$3:$O$3,FALSE))</f>
        <v>418.56971523917559</v>
      </c>
    </row>
    <row r="10" spans="1:42">
      <c r="B10" t="s">
        <v>69</v>
      </c>
      <c r="C10" s="5"/>
      <c r="D10" s="5"/>
      <c r="E10" s="5"/>
      <c r="H10" s="98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100"/>
    </row>
    <row r="11" spans="1:42">
      <c r="B11" t="s">
        <v>70</v>
      </c>
      <c r="C11" s="5">
        <f>Grocery!D39</f>
        <v>0</v>
      </c>
      <c r="D11" s="5"/>
      <c r="E11" s="5"/>
      <c r="H11" s="98">
        <f>INDEX(Grocery!$C$3:$J$37,MATCH(OBJ!H$6,Grocery!$B$3:$B$37,FALSE),MATCH("Scaled Score",Grocery!$C$2:$J$2,FALSE))</f>
        <v>0</v>
      </c>
      <c r="I11" s="99">
        <f>INDEX(Grocery!$C$3:$J$37,MATCH(OBJ!I$6,Grocery!$B$3:$B$37,FALSE),MATCH("Scaled Score",Grocery!$C$2:$J$2,FALSE))</f>
        <v>0</v>
      </c>
      <c r="J11" s="99">
        <f>INDEX(Grocery!$C$3:$J$37,MATCH(OBJ!J$6,Grocery!$B$3:$B$37,FALSE),MATCH("Scaled Score",Grocery!$C$2:$J$2,FALSE))</f>
        <v>0</v>
      </c>
      <c r="K11" s="99">
        <f>INDEX(Grocery!$C$3:$J$37,MATCH(OBJ!K$6,Grocery!$B$3:$B$37,FALSE),MATCH("Scaled Score",Grocery!$C$2:$J$2,FALSE))</f>
        <v>0</v>
      </c>
      <c r="L11" s="99">
        <f>INDEX(Grocery!$C$3:$J$37,MATCH(OBJ!L$6,Grocery!$B$3:$B$37,FALSE),MATCH("Scaled Score",Grocery!$C$2:$J$2,FALSE))</f>
        <v>0</v>
      </c>
      <c r="M11" s="99">
        <f>INDEX(Grocery!$C$3:$J$37,MATCH(OBJ!M$6,Grocery!$B$3:$B$37,FALSE),MATCH("Scaled Score",Grocery!$C$2:$J$2,FALSE))</f>
        <v>0</v>
      </c>
      <c r="N11" s="99">
        <f>INDEX(Grocery!$C$3:$J$37,MATCH(OBJ!N$6,Grocery!$B$3:$B$37,FALSE),MATCH("Scaled Score",Grocery!$C$2:$J$2,FALSE))</f>
        <v>0</v>
      </c>
      <c r="O11" s="99">
        <f>INDEX(Grocery!$C$3:$J$37,MATCH(OBJ!O$6,Grocery!$B$3:$B$37,FALSE),MATCH("Scaled Score",Grocery!$C$2:$J$2,FALSE))</f>
        <v>0</v>
      </c>
      <c r="P11" s="99">
        <f>INDEX(Grocery!$C$3:$J$37,MATCH(OBJ!P$6,Grocery!$B$3:$B$37,FALSE),MATCH("Scaled Score",Grocery!$C$2:$J$2,FALSE))</f>
        <v>0</v>
      </c>
      <c r="Q11" s="99">
        <f>INDEX(Grocery!$C$3:$J$37,MATCH(OBJ!Q$6,Grocery!$B$3:$B$37,FALSE),MATCH("Scaled Score",Grocery!$C$2:$J$2,FALSE))</f>
        <v>0</v>
      </c>
      <c r="R11" s="99">
        <f>INDEX(Grocery!$C$3:$J$37,MATCH(OBJ!R$6,Grocery!$B$3:$B$37,FALSE),MATCH("Scaled Score",Grocery!$C$2:$J$2,FALSE))</f>
        <v>0</v>
      </c>
      <c r="S11" s="99">
        <f>INDEX(Grocery!$C$3:$J$37,MATCH(OBJ!S$6,Grocery!$B$3:$B$37,FALSE),MATCH("Scaled Score",Grocery!$C$2:$J$2,FALSE))</f>
        <v>0</v>
      </c>
      <c r="T11" s="99">
        <f>INDEX(Grocery!$C$3:$J$37,MATCH(OBJ!T$6,Grocery!$B$3:$B$37,FALSE),MATCH("Scaled Score",Grocery!$C$2:$J$2,FALSE))</f>
        <v>0</v>
      </c>
      <c r="U11" s="99">
        <f>INDEX(Grocery!$C$3:$J$37,MATCH(OBJ!U$6,Grocery!$B$3:$B$37,FALSE),MATCH("Scaled Score",Grocery!$C$2:$J$2,FALSE))</f>
        <v>0</v>
      </c>
      <c r="V11" s="99">
        <f>INDEX(Grocery!$C$3:$J$37,MATCH(OBJ!V$6,Grocery!$B$3:$B$37,FALSE),MATCH("Scaled Score",Grocery!$C$2:$J$2,FALSE))</f>
        <v>0</v>
      </c>
      <c r="W11" s="99">
        <f>INDEX(Grocery!$C$3:$J$37,MATCH(OBJ!W$6,Grocery!$B$3:$B$37,FALSE),MATCH("Scaled Score",Grocery!$C$2:$J$2,FALSE))</f>
        <v>0</v>
      </c>
      <c r="X11" s="99">
        <f>INDEX(Grocery!$C$3:$J$37,MATCH(OBJ!X$6,Grocery!$B$3:$B$37,FALSE),MATCH("Scaled Score",Grocery!$C$2:$J$2,FALSE))</f>
        <v>0</v>
      </c>
      <c r="Y11" s="99">
        <f>INDEX(Grocery!$C$3:$J$37,MATCH(OBJ!Y$6,Grocery!$B$3:$B$37,FALSE),MATCH("Scaled Score",Grocery!$C$2:$J$2,FALSE))</f>
        <v>0</v>
      </c>
      <c r="Z11" s="99">
        <f>INDEX(Grocery!$C$3:$J$37,MATCH(OBJ!Z$6,Grocery!$B$3:$B$37,FALSE),MATCH("Scaled Score",Grocery!$C$2:$J$2,FALSE))</f>
        <v>0</v>
      </c>
      <c r="AA11" s="99">
        <f>INDEX(Grocery!$C$3:$J$37,MATCH(OBJ!AA$6,Grocery!$B$3:$B$37,FALSE),MATCH("Scaled Score",Grocery!$C$2:$J$2,FALSE))</f>
        <v>0</v>
      </c>
      <c r="AB11" s="99">
        <f>INDEX(Grocery!$C$3:$J$37,MATCH(OBJ!AB$6,Grocery!$B$3:$B$37,FALSE),MATCH("Scaled Score",Grocery!$C$2:$J$2,FALSE))</f>
        <v>0</v>
      </c>
      <c r="AC11" s="99">
        <f>INDEX(Grocery!$C$3:$J$37,MATCH(OBJ!AC$6,Grocery!$B$3:$B$37,FALSE),MATCH("Scaled Score",Grocery!$C$2:$J$2,FALSE))</f>
        <v>0</v>
      </c>
      <c r="AD11" s="99">
        <f>INDEX(Grocery!$C$3:$J$37,MATCH(OBJ!AD$6,Grocery!$B$3:$B$37,FALSE),MATCH("Scaled Score",Grocery!$C$2:$J$2,FALSE))</f>
        <v>0</v>
      </c>
      <c r="AE11" s="99">
        <f>INDEX(Grocery!$C$3:$J$37,MATCH(OBJ!AE$6,Grocery!$B$3:$B$37,FALSE),MATCH("Scaled Score",Grocery!$C$2:$J$2,FALSE))</f>
        <v>0</v>
      </c>
      <c r="AF11" s="99">
        <f>INDEX(Grocery!$C$3:$J$37,MATCH(OBJ!AF$6,Grocery!$B$3:$B$37,FALSE),MATCH("Scaled Score",Grocery!$C$2:$J$2,FALSE))</f>
        <v>0</v>
      </c>
      <c r="AG11" s="99">
        <f>INDEX(Grocery!$C$3:$J$37,MATCH(OBJ!AG$6,Grocery!$B$3:$B$37,FALSE),MATCH("Scaled Score",Grocery!$C$2:$J$2,FALSE))</f>
        <v>0</v>
      </c>
      <c r="AH11" s="99">
        <f>INDEX(Grocery!$C$3:$J$37,MATCH(OBJ!AH$6,Grocery!$B$3:$B$37,FALSE),MATCH("Scaled Score",Grocery!$C$2:$J$2,FALSE))</f>
        <v>0</v>
      </c>
      <c r="AI11" s="99">
        <f>INDEX(Grocery!$C$3:$J$37,MATCH(OBJ!AI$6,Grocery!$B$3:$B$37,FALSE),MATCH("Scaled Score",Grocery!$C$2:$J$2,FALSE))</f>
        <v>0</v>
      </c>
      <c r="AJ11" s="99">
        <f>INDEX(Grocery!$C$3:$J$37,MATCH(OBJ!AJ$6,Grocery!$B$3:$B$37,FALSE),MATCH("Scaled Score",Grocery!$C$2:$J$2,FALSE))</f>
        <v>0</v>
      </c>
      <c r="AK11" s="99">
        <f>INDEX(Grocery!$C$3:$J$37,MATCH(OBJ!AK$6,Grocery!$B$3:$B$37,FALSE),MATCH("Scaled Score",Grocery!$C$2:$J$2,FALSE))</f>
        <v>0</v>
      </c>
      <c r="AL11" s="99">
        <f>INDEX(Grocery!$C$3:$J$37,MATCH(OBJ!AL$6,Grocery!$B$3:$B$37,FALSE),MATCH("Scaled Score",Grocery!$C$2:$J$2,FALSE))</f>
        <v>0</v>
      </c>
      <c r="AM11" s="99">
        <f>INDEX(Grocery!$C$3:$J$37,MATCH(OBJ!AM$6,Grocery!$B$3:$B$37,FALSE),MATCH("Scaled Score",Grocery!$C$2:$J$2,FALSE))</f>
        <v>0</v>
      </c>
      <c r="AN11" s="99">
        <f>INDEX(Grocery!$C$3:$J$37,MATCH(OBJ!AN$6,Grocery!$B$3:$B$37,FALSE),MATCH("Scaled Score",Grocery!$C$2:$J$2,FALSE))</f>
        <v>0</v>
      </c>
      <c r="AO11" s="99">
        <f>INDEX(Grocery!$C$3:$J$37,MATCH(OBJ!AO$6,Grocery!$B$3:$B$37,FALSE),MATCH("Scaled Score",Grocery!$C$2:$J$2,FALSE))</f>
        <v>0</v>
      </c>
      <c r="AP11" s="100">
        <f>INDEX(Grocery!$C$3:$J$37,MATCH(OBJ!AP$6,Grocery!$B$3:$B$37,FALSE),MATCH("Scaled Score",Grocery!$C$2:$J$2,FALSE))</f>
        <v>0</v>
      </c>
    </row>
    <row r="12" spans="1:42">
      <c r="B12" t="s">
        <v>71</v>
      </c>
      <c r="C12" s="5">
        <f>Gym!D39</f>
        <v>0</v>
      </c>
      <c r="D12" s="5"/>
      <c r="E12" s="5"/>
      <c r="H12" s="98">
        <f>INDEX(Gym!$C$3:$J$37,MATCH(OBJ!H$6,Gym!$B$3:$B$37,FALSE),MATCH("Scaled Score",Gym!$C$2:$J$2,FALSE))</f>
        <v>0</v>
      </c>
      <c r="I12" s="99">
        <f>INDEX(Gym!$C$3:$J$37,MATCH(OBJ!I$6,Gym!$B$3:$B$37,FALSE),MATCH("Scaled Score",Gym!$C$2:$J$2,FALSE))</f>
        <v>0</v>
      </c>
      <c r="J12" s="99">
        <f>INDEX(Gym!$C$3:$J$37,MATCH(OBJ!J$6,Gym!$B$3:$B$37,FALSE),MATCH("Scaled Score",Gym!$C$2:$J$2,FALSE))</f>
        <v>0</v>
      </c>
      <c r="K12" s="99">
        <f>INDEX(Gym!$C$3:$J$37,MATCH(OBJ!K$6,Gym!$B$3:$B$37,FALSE),MATCH("Scaled Score",Gym!$C$2:$J$2,FALSE))</f>
        <v>0</v>
      </c>
      <c r="L12" s="99">
        <f>INDEX(Gym!$C$3:$J$37,MATCH(OBJ!L$6,Gym!$B$3:$B$37,FALSE),MATCH("Scaled Score",Gym!$C$2:$J$2,FALSE))</f>
        <v>0</v>
      </c>
      <c r="M12" s="99">
        <f>INDEX(Gym!$C$3:$J$37,MATCH(OBJ!M$6,Gym!$B$3:$B$37,FALSE),MATCH("Scaled Score",Gym!$C$2:$J$2,FALSE))</f>
        <v>0</v>
      </c>
      <c r="N12" s="99">
        <f>INDEX(Gym!$C$3:$J$37,MATCH(OBJ!N$6,Gym!$B$3:$B$37,FALSE),MATCH("Scaled Score",Gym!$C$2:$J$2,FALSE))</f>
        <v>0</v>
      </c>
      <c r="O12" s="99">
        <f>INDEX(Gym!$C$3:$J$37,MATCH(OBJ!O$6,Gym!$B$3:$B$37,FALSE),MATCH("Scaled Score",Gym!$C$2:$J$2,FALSE))</f>
        <v>0</v>
      </c>
      <c r="P12" s="99">
        <f>INDEX(Gym!$C$3:$J$37,MATCH(OBJ!P$6,Gym!$B$3:$B$37,FALSE),MATCH("Scaled Score",Gym!$C$2:$J$2,FALSE))</f>
        <v>0</v>
      </c>
      <c r="Q12" s="99">
        <f>INDEX(Gym!$C$3:$J$37,MATCH(OBJ!Q$6,Gym!$B$3:$B$37,FALSE),MATCH("Scaled Score",Gym!$C$2:$J$2,FALSE))</f>
        <v>0</v>
      </c>
      <c r="R12" s="99">
        <f>INDEX(Gym!$C$3:$J$37,MATCH(OBJ!R$6,Gym!$B$3:$B$37,FALSE),MATCH("Scaled Score",Gym!$C$2:$J$2,FALSE))</f>
        <v>0</v>
      </c>
      <c r="S12" s="99">
        <f>INDEX(Gym!$C$3:$J$37,MATCH(OBJ!S$6,Gym!$B$3:$B$37,FALSE),MATCH("Scaled Score",Gym!$C$2:$J$2,FALSE))</f>
        <v>0</v>
      </c>
      <c r="T12" s="99">
        <f>INDEX(Gym!$C$3:$J$37,MATCH(OBJ!T$6,Gym!$B$3:$B$37,FALSE),MATCH("Scaled Score",Gym!$C$2:$J$2,FALSE))</f>
        <v>0</v>
      </c>
      <c r="U12" s="99">
        <f>INDEX(Gym!$C$3:$J$37,MATCH(OBJ!U$6,Gym!$B$3:$B$37,FALSE),MATCH("Scaled Score",Gym!$C$2:$J$2,FALSE))</f>
        <v>0</v>
      </c>
      <c r="V12" s="99">
        <f>INDEX(Gym!$C$3:$J$37,MATCH(OBJ!V$6,Gym!$B$3:$B$37,FALSE),MATCH("Scaled Score",Gym!$C$2:$J$2,FALSE))</f>
        <v>0</v>
      </c>
      <c r="W12" s="99">
        <f>INDEX(Gym!$C$3:$J$37,MATCH(OBJ!W$6,Gym!$B$3:$B$37,FALSE),MATCH("Scaled Score",Gym!$C$2:$J$2,FALSE))</f>
        <v>0</v>
      </c>
      <c r="X12" s="99">
        <f>INDEX(Gym!$C$3:$J$37,MATCH(OBJ!X$6,Gym!$B$3:$B$37,FALSE),MATCH("Scaled Score",Gym!$C$2:$J$2,FALSE))</f>
        <v>0</v>
      </c>
      <c r="Y12" s="99">
        <f>INDEX(Gym!$C$3:$J$37,MATCH(OBJ!Y$6,Gym!$B$3:$B$37,FALSE),MATCH("Scaled Score",Gym!$C$2:$J$2,FALSE))</f>
        <v>0</v>
      </c>
      <c r="Z12" s="99">
        <f>INDEX(Gym!$C$3:$J$37,MATCH(OBJ!Z$6,Gym!$B$3:$B$37,FALSE),MATCH("Scaled Score",Gym!$C$2:$J$2,FALSE))</f>
        <v>0</v>
      </c>
      <c r="AA12" s="99">
        <f>INDEX(Gym!$C$3:$J$37,MATCH(OBJ!AA$6,Gym!$B$3:$B$37,FALSE),MATCH("Scaled Score",Gym!$C$2:$J$2,FALSE))</f>
        <v>0</v>
      </c>
      <c r="AB12" s="99">
        <f>INDEX(Gym!$C$3:$J$37,MATCH(OBJ!AB$6,Gym!$B$3:$B$37,FALSE),MATCH("Scaled Score",Gym!$C$2:$J$2,FALSE))</f>
        <v>0</v>
      </c>
      <c r="AC12" s="99">
        <f>INDEX(Gym!$C$3:$J$37,MATCH(OBJ!AC$6,Gym!$B$3:$B$37,FALSE),MATCH("Scaled Score",Gym!$C$2:$J$2,FALSE))</f>
        <v>0</v>
      </c>
      <c r="AD12" s="99">
        <f>INDEX(Gym!$C$3:$J$37,MATCH(OBJ!AD$6,Gym!$B$3:$B$37,FALSE),MATCH("Scaled Score",Gym!$C$2:$J$2,FALSE))</f>
        <v>0</v>
      </c>
      <c r="AE12" s="99">
        <f>INDEX(Gym!$C$3:$J$37,MATCH(OBJ!AE$6,Gym!$B$3:$B$37,FALSE),MATCH("Scaled Score",Gym!$C$2:$J$2,FALSE))</f>
        <v>0</v>
      </c>
      <c r="AF12" s="99">
        <f>INDEX(Gym!$C$3:$J$37,MATCH(OBJ!AF$6,Gym!$B$3:$B$37,FALSE),MATCH("Scaled Score",Gym!$C$2:$J$2,FALSE))</f>
        <v>0</v>
      </c>
      <c r="AG12" s="99">
        <f>INDEX(Gym!$C$3:$J$37,MATCH(OBJ!AG$6,Gym!$B$3:$B$37,FALSE),MATCH("Scaled Score",Gym!$C$2:$J$2,FALSE))</f>
        <v>0</v>
      </c>
      <c r="AH12" s="99">
        <f>INDEX(Gym!$C$3:$J$37,MATCH(OBJ!AH$6,Gym!$B$3:$B$37,FALSE),MATCH("Scaled Score",Gym!$C$2:$J$2,FALSE))</f>
        <v>0</v>
      </c>
      <c r="AI12" s="99">
        <f>INDEX(Gym!$C$3:$J$37,MATCH(OBJ!AI$6,Gym!$B$3:$B$37,FALSE),MATCH("Scaled Score",Gym!$C$2:$J$2,FALSE))</f>
        <v>0</v>
      </c>
      <c r="AJ12" s="99">
        <f>INDEX(Gym!$C$3:$J$37,MATCH(OBJ!AJ$6,Gym!$B$3:$B$37,FALSE),MATCH("Scaled Score",Gym!$C$2:$J$2,FALSE))</f>
        <v>0</v>
      </c>
      <c r="AK12" s="99">
        <f>INDEX(Gym!$C$3:$J$37,MATCH(OBJ!AK$6,Gym!$B$3:$B$37,FALSE),MATCH("Scaled Score",Gym!$C$2:$J$2,FALSE))</f>
        <v>0</v>
      </c>
      <c r="AL12" s="99">
        <f>INDEX(Gym!$C$3:$J$37,MATCH(OBJ!AL$6,Gym!$B$3:$B$37,FALSE),MATCH("Scaled Score",Gym!$C$2:$J$2,FALSE))</f>
        <v>0</v>
      </c>
      <c r="AM12" s="99">
        <f>INDEX(Gym!$C$3:$J$37,MATCH(OBJ!AM$6,Gym!$B$3:$B$37,FALSE),MATCH("Scaled Score",Gym!$C$2:$J$2,FALSE))</f>
        <v>0</v>
      </c>
      <c r="AN12" s="99">
        <f>INDEX(Gym!$C$3:$J$37,MATCH(OBJ!AN$6,Gym!$B$3:$B$37,FALSE),MATCH("Scaled Score",Gym!$C$2:$J$2,FALSE))</f>
        <v>0</v>
      </c>
      <c r="AO12" s="99">
        <f>INDEX(Gym!$C$3:$J$37,MATCH(OBJ!AO$6,Gym!$B$3:$B$37,FALSE),MATCH("Scaled Score",Gym!$C$2:$J$2,FALSE))</f>
        <v>0</v>
      </c>
      <c r="AP12" s="100">
        <f>INDEX(Gym!$C$3:$J$37,MATCH(OBJ!AP$6,Gym!$B$3:$B$37,FALSE),MATCH("Scaled Score",Gym!$C$2:$J$2,FALSE))</f>
        <v>0</v>
      </c>
    </row>
    <row r="13" spans="1:42">
      <c r="B13" t="s">
        <v>72</v>
      </c>
      <c r="C13" s="5">
        <f>Parks!D39</f>
        <v>0</v>
      </c>
      <c r="D13" s="5"/>
      <c r="E13" s="5"/>
      <c r="H13" s="98">
        <f>INDEX(Parks!$C$3:$J$37,MATCH(OBJ!H$6,Parks!$B$3:$B$37,FALSE),MATCH("Scaled Score",Parks!$C$2:$J$2,FALSE))</f>
        <v>0</v>
      </c>
      <c r="I13" s="99">
        <f>INDEX(Parks!$C$3:$J$37,MATCH(OBJ!I$6,Parks!$B$3:$B$37,FALSE),MATCH("Scaled Score",Parks!$C$2:$J$2,FALSE))</f>
        <v>0</v>
      </c>
      <c r="J13" s="99">
        <f>INDEX(Parks!$C$3:$J$37,MATCH(OBJ!J$6,Parks!$B$3:$B$37,FALSE),MATCH("Scaled Score",Parks!$C$2:$J$2,FALSE))</f>
        <v>0</v>
      </c>
      <c r="K13" s="99">
        <f>INDEX(Parks!$C$3:$J$37,MATCH(OBJ!K$6,Parks!$B$3:$B$37,FALSE),MATCH("Scaled Score",Parks!$C$2:$J$2,FALSE))</f>
        <v>0</v>
      </c>
      <c r="L13" s="99">
        <f>INDEX(Parks!$C$3:$J$37,MATCH(OBJ!L$6,Parks!$B$3:$B$37,FALSE),MATCH("Scaled Score",Parks!$C$2:$J$2,FALSE))</f>
        <v>0</v>
      </c>
      <c r="M13" s="99">
        <f>INDEX(Parks!$C$3:$J$37,MATCH(OBJ!M$6,Parks!$B$3:$B$37,FALSE),MATCH("Scaled Score",Parks!$C$2:$J$2,FALSE))</f>
        <v>0</v>
      </c>
      <c r="N13" s="99">
        <f>INDEX(Parks!$C$3:$J$37,MATCH(OBJ!N$6,Parks!$B$3:$B$37,FALSE),MATCH("Scaled Score",Parks!$C$2:$J$2,FALSE))</f>
        <v>0</v>
      </c>
      <c r="O13" s="99">
        <f>INDEX(Parks!$C$3:$J$37,MATCH(OBJ!O$6,Parks!$B$3:$B$37,FALSE),MATCH("Scaled Score",Parks!$C$2:$J$2,FALSE))</f>
        <v>0</v>
      </c>
      <c r="P13" s="99">
        <f>INDEX(Parks!$C$3:$J$37,MATCH(OBJ!P$6,Parks!$B$3:$B$37,FALSE),MATCH("Scaled Score",Parks!$C$2:$J$2,FALSE))</f>
        <v>0</v>
      </c>
      <c r="Q13" s="99">
        <f>INDEX(Parks!$C$3:$J$37,MATCH(OBJ!Q$6,Parks!$B$3:$B$37,FALSE),MATCH("Scaled Score",Parks!$C$2:$J$2,FALSE))</f>
        <v>0</v>
      </c>
      <c r="R13" s="99">
        <f>INDEX(Parks!$C$3:$J$37,MATCH(OBJ!R$6,Parks!$B$3:$B$37,FALSE),MATCH("Scaled Score",Parks!$C$2:$J$2,FALSE))</f>
        <v>0</v>
      </c>
      <c r="S13" s="99">
        <f>INDEX(Parks!$C$3:$J$37,MATCH(OBJ!S$6,Parks!$B$3:$B$37,FALSE),MATCH("Scaled Score",Parks!$C$2:$J$2,FALSE))</f>
        <v>0</v>
      </c>
      <c r="T13" s="99">
        <f>INDEX(Parks!$C$3:$J$37,MATCH(OBJ!T$6,Parks!$B$3:$B$37,FALSE),MATCH("Scaled Score",Parks!$C$2:$J$2,FALSE))</f>
        <v>0</v>
      </c>
      <c r="U13" s="99">
        <f>INDEX(Parks!$C$3:$J$37,MATCH(OBJ!U$6,Parks!$B$3:$B$37,FALSE),MATCH("Scaled Score",Parks!$C$2:$J$2,FALSE))</f>
        <v>0</v>
      </c>
      <c r="V13" s="99">
        <f>INDEX(Parks!$C$3:$J$37,MATCH(OBJ!V$6,Parks!$B$3:$B$37,FALSE),MATCH("Scaled Score",Parks!$C$2:$J$2,FALSE))</f>
        <v>0</v>
      </c>
      <c r="W13" s="99">
        <f>INDEX(Parks!$C$3:$J$37,MATCH(OBJ!W$6,Parks!$B$3:$B$37,FALSE),MATCH("Scaled Score",Parks!$C$2:$J$2,FALSE))</f>
        <v>0</v>
      </c>
      <c r="X13" s="99">
        <f>INDEX(Parks!$C$3:$J$37,MATCH(OBJ!X$6,Parks!$B$3:$B$37,FALSE),MATCH("Scaled Score",Parks!$C$2:$J$2,FALSE))</f>
        <v>0</v>
      </c>
      <c r="Y13" s="99">
        <f>INDEX(Parks!$C$3:$J$37,MATCH(OBJ!Y$6,Parks!$B$3:$B$37,FALSE),MATCH("Scaled Score",Parks!$C$2:$J$2,FALSE))</f>
        <v>0</v>
      </c>
      <c r="Z13" s="99">
        <f>INDEX(Parks!$C$3:$J$37,MATCH(OBJ!Z$6,Parks!$B$3:$B$37,FALSE),MATCH("Scaled Score",Parks!$C$2:$J$2,FALSE))</f>
        <v>0</v>
      </c>
      <c r="AA13" s="99">
        <f>INDEX(Parks!$C$3:$J$37,MATCH(OBJ!AA$6,Parks!$B$3:$B$37,FALSE),MATCH("Scaled Score",Parks!$C$2:$J$2,FALSE))</f>
        <v>0</v>
      </c>
      <c r="AB13" s="99">
        <f>INDEX(Parks!$C$3:$J$37,MATCH(OBJ!AB$6,Parks!$B$3:$B$37,FALSE),MATCH("Scaled Score",Parks!$C$2:$J$2,FALSE))</f>
        <v>0</v>
      </c>
      <c r="AC13" s="99">
        <f>INDEX(Parks!$C$3:$J$37,MATCH(OBJ!AC$6,Parks!$B$3:$B$37,FALSE),MATCH("Scaled Score",Parks!$C$2:$J$2,FALSE))</f>
        <v>0</v>
      </c>
      <c r="AD13" s="99">
        <f>INDEX(Parks!$C$3:$J$37,MATCH(OBJ!AD$6,Parks!$B$3:$B$37,FALSE),MATCH("Scaled Score",Parks!$C$2:$J$2,FALSE))</f>
        <v>0</v>
      </c>
      <c r="AE13" s="99">
        <f>INDEX(Parks!$C$3:$J$37,MATCH(OBJ!AE$6,Parks!$B$3:$B$37,FALSE),MATCH("Scaled Score",Parks!$C$2:$J$2,FALSE))</f>
        <v>0</v>
      </c>
      <c r="AF13" s="99">
        <f>INDEX(Parks!$C$3:$J$37,MATCH(OBJ!AF$6,Parks!$B$3:$B$37,FALSE),MATCH("Scaled Score",Parks!$C$2:$J$2,FALSE))</f>
        <v>0</v>
      </c>
      <c r="AG13" s="99">
        <f>INDEX(Parks!$C$3:$J$37,MATCH(OBJ!AG$6,Parks!$B$3:$B$37,FALSE),MATCH("Scaled Score",Parks!$C$2:$J$2,FALSE))</f>
        <v>0</v>
      </c>
      <c r="AH13" s="99">
        <f>INDEX(Parks!$C$3:$J$37,MATCH(OBJ!AH$6,Parks!$B$3:$B$37,FALSE),MATCH("Scaled Score",Parks!$C$2:$J$2,FALSE))</f>
        <v>0</v>
      </c>
      <c r="AI13" s="99">
        <f>INDEX(Parks!$C$3:$J$37,MATCH(OBJ!AI$6,Parks!$B$3:$B$37,FALSE),MATCH("Scaled Score",Parks!$C$2:$J$2,FALSE))</f>
        <v>0</v>
      </c>
      <c r="AJ13" s="99">
        <f>INDEX(Parks!$C$3:$J$37,MATCH(OBJ!AJ$6,Parks!$B$3:$B$37,FALSE),MATCH("Scaled Score",Parks!$C$2:$J$2,FALSE))</f>
        <v>0</v>
      </c>
      <c r="AK13" s="99">
        <f>INDEX(Parks!$C$3:$J$37,MATCH(OBJ!AK$6,Parks!$B$3:$B$37,FALSE),MATCH("Scaled Score",Parks!$C$2:$J$2,FALSE))</f>
        <v>0</v>
      </c>
      <c r="AL13" s="99">
        <f>INDEX(Parks!$C$3:$J$37,MATCH(OBJ!AL$6,Parks!$B$3:$B$37,FALSE),MATCH("Scaled Score",Parks!$C$2:$J$2,FALSE))</f>
        <v>0</v>
      </c>
      <c r="AM13" s="99">
        <f>INDEX(Parks!$C$3:$J$37,MATCH(OBJ!AM$6,Parks!$B$3:$B$37,FALSE),MATCH("Scaled Score",Parks!$C$2:$J$2,FALSE))</f>
        <v>0</v>
      </c>
      <c r="AN13" s="99">
        <f>INDEX(Parks!$C$3:$J$37,MATCH(OBJ!AN$6,Parks!$B$3:$B$37,FALSE),MATCH("Scaled Score",Parks!$C$2:$J$2,FALSE))</f>
        <v>0</v>
      </c>
      <c r="AO13" s="99">
        <f>INDEX(Parks!$C$3:$J$37,MATCH(OBJ!AO$6,Parks!$B$3:$B$37,FALSE),MATCH("Scaled Score",Parks!$C$2:$J$2,FALSE))</f>
        <v>0</v>
      </c>
      <c r="AP13" s="100">
        <f>INDEX(Parks!$C$3:$J$37,MATCH(OBJ!AP$6,Parks!$B$3:$B$37,FALSE),MATCH("Scaled Score",Parks!$C$2:$J$2,FALSE))</f>
        <v>0</v>
      </c>
    </row>
    <row r="14" spans="1:42">
      <c r="B14" t="s">
        <v>73</v>
      </c>
      <c r="C14" s="5">
        <f>Exit!D38</f>
        <v>24</v>
      </c>
      <c r="D14" s="5"/>
      <c r="E14" s="5"/>
      <c r="H14" s="98">
        <f>+VLOOKUP(H$6,Exit!$B$2:$D$36,3,FALSE)</f>
        <v>8</v>
      </c>
      <c r="I14" s="99">
        <f>+VLOOKUP(I$6,Exit!$B$2:$D$36,3,FALSE)</f>
        <v>40</v>
      </c>
      <c r="J14" s="99">
        <f>+VLOOKUP(J$6,Exit!$B$2:$D$36,3,FALSE)</f>
        <v>16</v>
      </c>
      <c r="K14" s="99">
        <f>+VLOOKUP(K$6,Exit!$B$2:$D$36,3,FALSE)</f>
        <v>72</v>
      </c>
      <c r="L14" s="99">
        <f>+VLOOKUP(L$6,Exit!$B$2:$D$36,3,FALSE)</f>
        <v>24</v>
      </c>
      <c r="M14" s="99">
        <f>+VLOOKUP(M$6,Exit!$B$2:$D$36,3,FALSE)</f>
        <v>16</v>
      </c>
      <c r="N14" s="99">
        <f>+VLOOKUP(N$6,Exit!$B$2:$D$36,3,FALSE)</f>
        <v>32</v>
      </c>
      <c r="O14" s="99">
        <f>+VLOOKUP(O$6,Exit!$B$2:$D$36,3,FALSE)</f>
        <v>40</v>
      </c>
      <c r="P14" s="99">
        <f>+VLOOKUP(P$6,Exit!$B$2:$D$36,3,FALSE)</f>
        <v>40</v>
      </c>
      <c r="Q14" s="99">
        <f>+VLOOKUP(Q$6,Exit!$B$2:$D$36,3,FALSE)</f>
        <v>32</v>
      </c>
      <c r="R14" s="99">
        <f>+VLOOKUP(R$6,Exit!$B$2:$D$36,3,FALSE)</f>
        <v>56</v>
      </c>
      <c r="S14" s="99">
        <f>+VLOOKUP(S$6,Exit!$B$2:$D$36,3,FALSE)</f>
        <v>72.08</v>
      </c>
      <c r="T14" s="99">
        <f>+VLOOKUP(T$6,Exit!$B$2:$D$36,3,FALSE)</f>
        <v>48</v>
      </c>
      <c r="U14" s="99">
        <f>+VLOOKUP(U$6,Exit!$B$2:$D$36,3,FALSE)</f>
        <v>16</v>
      </c>
      <c r="V14" s="99">
        <f>+VLOOKUP(V$6,Exit!$B$2:$D$36,3,FALSE)</f>
        <v>16</v>
      </c>
      <c r="W14" s="99">
        <f>+VLOOKUP(W$6,Exit!$B$2:$D$36,3,FALSE)</f>
        <v>40</v>
      </c>
      <c r="X14" s="99">
        <f>+VLOOKUP(X$6,Exit!$B$2:$D$36,3,FALSE)</f>
        <v>32</v>
      </c>
      <c r="Y14" s="99">
        <f>+VLOOKUP(Y$6,Exit!$B$2:$D$36,3,FALSE)</f>
        <v>40</v>
      </c>
      <c r="Z14" s="99">
        <f>+VLOOKUP(Z$6,Exit!$B$2:$D$36,3,FALSE)</f>
        <v>48</v>
      </c>
      <c r="AA14" s="99">
        <f>+VLOOKUP(AA$6,Exit!$B$2:$D$36,3,FALSE)</f>
        <v>40</v>
      </c>
      <c r="AB14" s="99">
        <f>+VLOOKUP(AB$6,Exit!$B$2:$D$36,3,FALSE)</f>
        <v>64</v>
      </c>
      <c r="AC14" s="99">
        <f>+VLOOKUP(AC$6,Exit!$B$2:$D$36,3,FALSE)</f>
        <v>48</v>
      </c>
      <c r="AD14" s="99">
        <f>+VLOOKUP(AD$6,Exit!$B$2:$D$36,3,FALSE)</f>
        <v>8.08</v>
      </c>
      <c r="AE14" s="99">
        <f>+VLOOKUP(AE$6,Exit!$B$2:$D$36,3,FALSE)</f>
        <v>8</v>
      </c>
      <c r="AF14" s="99">
        <f>+VLOOKUP(AF$6,Exit!$B$2:$D$36,3,FALSE)</f>
        <v>0</v>
      </c>
      <c r="AG14" s="99">
        <f>+VLOOKUP(AG$6,Exit!$B$2:$D$36,3,FALSE)</f>
        <v>16</v>
      </c>
      <c r="AH14" s="99">
        <f>+VLOOKUP(AH$6,Exit!$B$2:$D$36,3,FALSE)</f>
        <v>40</v>
      </c>
      <c r="AI14" s="99">
        <f>+VLOOKUP(AI$6,Exit!$B$2:$D$36,3,FALSE)</f>
        <v>24</v>
      </c>
      <c r="AJ14" s="99">
        <f>+VLOOKUP(AJ$6,Exit!$B$2:$D$36,3,FALSE)</f>
        <v>8.0079999999999991</v>
      </c>
      <c r="AK14" s="99">
        <f>+VLOOKUP(AK$6,Exit!$B$2:$D$36,3,FALSE)</f>
        <v>24</v>
      </c>
      <c r="AL14" s="99">
        <f>+VLOOKUP(AL$6,Exit!$B$2:$D$36,3,FALSE)</f>
        <v>32</v>
      </c>
      <c r="AM14" s="99">
        <f>+VLOOKUP(AM$6,Exit!$B$2:$D$36,3,FALSE)</f>
        <v>64</v>
      </c>
      <c r="AN14" s="99">
        <f>+VLOOKUP(AN$6,Exit!$B$2:$D$36,3,FALSE)</f>
        <v>64</v>
      </c>
      <c r="AO14" s="99">
        <f>+VLOOKUP(AO$6,Exit!$B$2:$D$36,3,FALSE)</f>
        <v>64</v>
      </c>
      <c r="AP14" s="100">
        <f>+VLOOKUP(AP$6,Exit!$B$2:$D$36,3,FALSE)</f>
        <v>48</v>
      </c>
    </row>
    <row r="15" spans="1:42">
      <c r="B15" t="s">
        <v>74</v>
      </c>
      <c r="C15" s="5">
        <f>Parking!D39</f>
        <v>0</v>
      </c>
      <c r="D15" s="5"/>
      <c r="E15" s="5"/>
      <c r="H15" s="98">
        <f>INDEX(Parking!$C$3:$J$37,MATCH(OBJ!H$6,Parking!$B$3:$B$37,FALSE),MATCH("Scaled Score",Parking!$C$2:$J$2,FALSE))</f>
        <v>0</v>
      </c>
      <c r="I15" s="99">
        <f>INDEX(Parking!$C$3:$J$37,MATCH(OBJ!I$6,Parking!$B$3:$B$37,FALSE),MATCH("Scaled Score",Parking!$C$2:$J$2,FALSE))</f>
        <v>0</v>
      </c>
      <c r="J15" s="99">
        <f>INDEX(Parking!$C$3:$J$37,MATCH(OBJ!J$6,Parking!$B$3:$B$37,FALSE),MATCH("Scaled Score",Parking!$C$2:$J$2,FALSE))</f>
        <v>0</v>
      </c>
      <c r="K15" s="99">
        <f>INDEX(Parking!$C$3:$J$37,MATCH(OBJ!K$6,Parking!$B$3:$B$37,FALSE),MATCH("Scaled Score",Parking!$C$2:$J$2,FALSE))</f>
        <v>0</v>
      </c>
      <c r="L15" s="99">
        <f>INDEX(Parking!$C$3:$J$37,MATCH(OBJ!L$6,Parking!$B$3:$B$37,FALSE),MATCH("Scaled Score",Parking!$C$2:$J$2,FALSE))</f>
        <v>0</v>
      </c>
      <c r="M15" s="99">
        <f>INDEX(Parking!$C$3:$J$37,MATCH(OBJ!M$6,Parking!$B$3:$B$37,FALSE),MATCH("Scaled Score",Parking!$C$2:$J$2,FALSE))</f>
        <v>0</v>
      </c>
      <c r="N15" s="99">
        <f>INDEX(Parking!$C$3:$J$37,MATCH(OBJ!N$6,Parking!$B$3:$B$37,FALSE),MATCH("Scaled Score",Parking!$C$2:$J$2,FALSE))</f>
        <v>0</v>
      </c>
      <c r="O15" s="99">
        <f>INDEX(Parking!$C$3:$J$37,MATCH(OBJ!O$6,Parking!$B$3:$B$37,FALSE),MATCH("Scaled Score",Parking!$C$2:$J$2,FALSE))</f>
        <v>0</v>
      </c>
      <c r="P15" s="99">
        <f>INDEX(Parking!$C$3:$J$37,MATCH(OBJ!P$6,Parking!$B$3:$B$37,FALSE),MATCH("Scaled Score",Parking!$C$2:$J$2,FALSE))</f>
        <v>0</v>
      </c>
      <c r="Q15" s="99">
        <f>INDEX(Parking!$C$3:$J$37,MATCH(OBJ!Q$6,Parking!$B$3:$B$37,FALSE),MATCH("Scaled Score",Parking!$C$2:$J$2,FALSE))</f>
        <v>0</v>
      </c>
      <c r="R15" s="99">
        <f>INDEX(Parking!$C$3:$J$37,MATCH(OBJ!R$6,Parking!$B$3:$B$37,FALSE),MATCH("Scaled Score",Parking!$C$2:$J$2,FALSE))</f>
        <v>0</v>
      </c>
      <c r="S15" s="99">
        <f>INDEX(Parking!$C$3:$J$37,MATCH(OBJ!S$6,Parking!$B$3:$B$37,FALSE),MATCH("Scaled Score",Parking!$C$2:$J$2,FALSE))</f>
        <v>0</v>
      </c>
      <c r="T15" s="99">
        <f>INDEX(Parking!$C$3:$J$37,MATCH(OBJ!T$6,Parking!$B$3:$B$37,FALSE),MATCH("Scaled Score",Parking!$C$2:$J$2,FALSE))</f>
        <v>0</v>
      </c>
      <c r="U15" s="99">
        <f>INDEX(Parking!$C$3:$J$37,MATCH(OBJ!U$6,Parking!$B$3:$B$37,FALSE),MATCH("Scaled Score",Parking!$C$2:$J$2,FALSE))</f>
        <v>0</v>
      </c>
      <c r="V15" s="99">
        <f>INDEX(Parking!$C$3:$J$37,MATCH(OBJ!V$6,Parking!$B$3:$B$37,FALSE),MATCH("Scaled Score",Parking!$C$2:$J$2,FALSE))</f>
        <v>0</v>
      </c>
      <c r="W15" s="99">
        <f>INDEX(Parking!$C$3:$J$37,MATCH(OBJ!W$6,Parking!$B$3:$B$37,FALSE),MATCH("Scaled Score",Parking!$C$2:$J$2,FALSE))</f>
        <v>0</v>
      </c>
      <c r="X15" s="99">
        <f>INDEX(Parking!$C$3:$J$37,MATCH(OBJ!X$6,Parking!$B$3:$B$37,FALSE),MATCH("Scaled Score",Parking!$C$2:$J$2,FALSE))</f>
        <v>0</v>
      </c>
      <c r="Y15" s="99">
        <f>INDEX(Parking!$C$3:$J$37,MATCH(OBJ!Y$6,Parking!$B$3:$B$37,FALSE),MATCH("Scaled Score",Parking!$C$2:$J$2,FALSE))</f>
        <v>0</v>
      </c>
      <c r="Z15" s="99">
        <f>INDEX(Parking!$C$3:$J$37,MATCH(OBJ!Z$6,Parking!$B$3:$B$37,FALSE),MATCH("Scaled Score",Parking!$C$2:$J$2,FALSE))</f>
        <v>0</v>
      </c>
      <c r="AA15" s="99">
        <f>INDEX(Parking!$C$3:$J$37,MATCH(OBJ!AA$6,Parking!$B$3:$B$37,FALSE),MATCH("Scaled Score",Parking!$C$2:$J$2,FALSE))</f>
        <v>0</v>
      </c>
      <c r="AB15" s="99">
        <f>INDEX(Parking!$C$3:$J$37,MATCH(OBJ!AB$6,Parking!$B$3:$B$37,FALSE),MATCH("Scaled Score",Parking!$C$2:$J$2,FALSE))</f>
        <v>0</v>
      </c>
      <c r="AC15" s="99">
        <f>INDEX(Parking!$C$3:$J$37,MATCH(OBJ!AC$6,Parking!$B$3:$B$37,FALSE),MATCH("Scaled Score",Parking!$C$2:$J$2,FALSE))</f>
        <v>0</v>
      </c>
      <c r="AD15" s="99">
        <f>INDEX(Parking!$C$3:$J$37,MATCH(OBJ!AD$6,Parking!$B$3:$B$37,FALSE),MATCH("Scaled Score",Parking!$C$2:$J$2,FALSE))</f>
        <v>0</v>
      </c>
      <c r="AE15" s="99">
        <f>INDEX(Parking!$C$3:$J$37,MATCH(OBJ!AE$6,Parking!$B$3:$B$37,FALSE),MATCH("Scaled Score",Parking!$C$2:$J$2,FALSE))</f>
        <v>0</v>
      </c>
      <c r="AF15" s="99">
        <f>INDEX(Parking!$C$3:$J$37,MATCH(OBJ!AF$6,Parking!$B$3:$B$37,FALSE),MATCH("Scaled Score",Parking!$C$2:$J$2,FALSE))</f>
        <v>0</v>
      </c>
      <c r="AG15" s="99">
        <f>INDEX(Parking!$C$3:$J$37,MATCH(OBJ!AG$6,Parking!$B$3:$B$37,FALSE),MATCH("Scaled Score",Parking!$C$2:$J$2,FALSE))</f>
        <v>0</v>
      </c>
      <c r="AH15" s="99">
        <f>INDEX(Parking!$C$3:$J$37,MATCH(OBJ!AH$6,Parking!$B$3:$B$37,FALSE),MATCH("Scaled Score",Parking!$C$2:$J$2,FALSE))</f>
        <v>0</v>
      </c>
      <c r="AI15" s="99">
        <f>INDEX(Parking!$C$3:$J$37,MATCH(OBJ!AI$6,Parking!$B$3:$B$37,FALSE),MATCH("Scaled Score",Parking!$C$2:$J$2,FALSE))</f>
        <v>0</v>
      </c>
      <c r="AJ15" s="99">
        <f>INDEX(Parking!$C$3:$J$37,MATCH(OBJ!AJ$6,Parking!$B$3:$B$37,FALSE),MATCH("Scaled Score",Parking!$C$2:$J$2,FALSE))</f>
        <v>0</v>
      </c>
      <c r="AK15" s="99">
        <f>INDEX(Parking!$C$3:$J$37,MATCH(OBJ!AK$6,Parking!$B$3:$B$37,FALSE),MATCH("Scaled Score",Parking!$C$2:$J$2,FALSE))</f>
        <v>0</v>
      </c>
      <c r="AL15" s="99">
        <f>INDEX(Parking!$C$3:$J$37,MATCH(OBJ!AL$6,Parking!$B$3:$B$37,FALSE),MATCH("Scaled Score",Parking!$C$2:$J$2,FALSE))</f>
        <v>0</v>
      </c>
      <c r="AM15" s="99">
        <f>INDEX(Parking!$C$3:$J$37,MATCH(OBJ!AM$6,Parking!$B$3:$B$37,FALSE),MATCH("Scaled Score",Parking!$C$2:$J$2,FALSE))</f>
        <v>0</v>
      </c>
      <c r="AN15" s="99">
        <f>INDEX(Parking!$C$3:$J$37,MATCH(OBJ!AN$6,Parking!$B$3:$B$37,FALSE),MATCH("Scaled Score",Parking!$C$2:$J$2,FALSE))</f>
        <v>0</v>
      </c>
      <c r="AO15" s="99">
        <f>INDEX(Parking!$C$3:$J$37,MATCH(OBJ!AO$6,Parking!$B$3:$B$37,FALSE),MATCH("Scaled Score",Parking!$C$2:$J$2,FALSE))</f>
        <v>0</v>
      </c>
      <c r="AP15" s="100">
        <f>INDEX(Parking!$C$3:$J$37,MATCH(OBJ!AP$6,Parking!$B$3:$B$37,FALSE),MATCH("Scaled Score",Parking!$C$2:$J$2,FALSE))</f>
        <v>0</v>
      </c>
    </row>
    <row r="16" spans="1:42">
      <c r="B16" t="s">
        <v>75</v>
      </c>
      <c r="C16" s="5">
        <f>Housing!E38</f>
        <v>190.80293402192862</v>
      </c>
      <c r="D16" s="5"/>
      <c r="E16" s="5"/>
      <c r="H16" s="98">
        <f>+VLOOKUP(H$6,Housing!$B$2:$E$36,4,FALSE)</f>
        <v>209.80608299336475</v>
      </c>
      <c r="I16" s="99">
        <f>+VLOOKUP(I$6,Housing!$B$2:$E$36,4,FALSE)</f>
        <v>137.82686036998811</v>
      </c>
      <c r="J16" s="99">
        <f>+VLOOKUP(J$6,Housing!$B$2:$E$36,4,FALSE)</f>
        <v>179.9147393255881</v>
      </c>
      <c r="K16" s="99">
        <f>+VLOOKUP(K$6,Housing!$B$2:$E$36,4,FALSE)</f>
        <v>221.27416801960936</v>
      </c>
      <c r="L16" s="99">
        <f>+VLOOKUP(L$6,Housing!$B$2:$E$36,4,FALSE)</f>
        <v>190.80293402192862</v>
      </c>
      <c r="M16" s="99">
        <f>+VLOOKUP(M$6,Housing!$B$2:$E$36,4,FALSE)</f>
        <v>134.04843866372141</v>
      </c>
      <c r="N16" s="99">
        <f>+VLOOKUP(N$6,Housing!$B$2:$E$36,4,FALSE)</f>
        <v>137.59044185666951</v>
      </c>
      <c r="O16" s="99">
        <f>+VLOOKUP(O$6,Housing!$B$2:$E$36,4,FALSE)</f>
        <v>150.73037266486085</v>
      </c>
      <c r="P16" s="99">
        <f>+VLOOKUP(P$6,Housing!$B$2:$E$36,4,FALSE)</f>
        <v>190.80293402192862</v>
      </c>
      <c r="Q16" s="99">
        <f>+VLOOKUP(Q$6,Housing!$B$2:$E$36,4,FALSE)</f>
        <v>167.64222642914063</v>
      </c>
      <c r="R16" s="99">
        <f>+VLOOKUP(R$6,Housing!$B$2:$E$36,4,FALSE)</f>
        <v>238.82950618447148</v>
      </c>
      <c r="S16" s="99">
        <f>+VLOOKUP(S$6,Housing!$B$2:$E$36,4,FALSE)</f>
        <v>253.49094061280906</v>
      </c>
      <c r="T16" s="99">
        <f>+VLOOKUP(T$6,Housing!$B$2:$E$36,4,FALSE)</f>
        <v>194.69808132026475</v>
      </c>
      <c r="U16" s="99">
        <f>+VLOOKUP(U$6,Housing!$B$2:$E$36,4,FALSE)</f>
        <v>223.99354792897054</v>
      </c>
      <c r="V16" s="99">
        <f>+VLOOKUP(V$6,Housing!$B$2:$E$36,4,FALSE)</f>
        <v>0.59659909454396498</v>
      </c>
      <c r="W16" s="99">
        <f>+VLOOKUP(W$6,Housing!$B$2:$E$36,4,FALSE)</f>
        <v>220.35420910131614</v>
      </c>
      <c r="X16" s="99">
        <f>+VLOOKUP(X$6,Housing!$B$2:$E$36,4,FALSE)</f>
        <v>109.94967537915809</v>
      </c>
      <c r="Y16" s="99">
        <f>+VLOOKUP(Y$6,Housing!$B$2:$E$36,4,FALSE)</f>
        <v>196.19603068282515</v>
      </c>
      <c r="Z16" s="99">
        <f>+VLOOKUP(Z$6,Housing!$B$2:$E$36,4,FALSE)</f>
        <v>167.75838363607096</v>
      </c>
      <c r="AA16" s="99">
        <f>+VLOOKUP(AA$6,Housing!$B$2:$E$36,4,FALSE)</f>
        <v>162.62686490492351</v>
      </c>
      <c r="AB16" s="99">
        <f>+VLOOKUP(AB$6,Housing!$B$2:$E$36,4,FALSE)</f>
        <v>230.09720302497945</v>
      </c>
      <c r="AC16" s="99">
        <f>+VLOOKUP(AC$6,Housing!$B$2:$E$36,4,FALSE)</f>
        <v>202.08744406208652</v>
      </c>
      <c r="AD16" s="99">
        <f>+VLOOKUP(AD$6,Housing!$B$2:$E$36,4,FALSE)</f>
        <v>27.526723003340361</v>
      </c>
      <c r="AE16" s="99">
        <f>+VLOOKUP(AE$6,Housing!$B$2:$E$36,4,FALSE)</f>
        <v>0.59659909454396498</v>
      </c>
      <c r="AF16" s="99">
        <f>+VLOOKUP(AF$6,Housing!$B$2:$E$36,4,FALSE)</f>
        <v>208.60971926540037</v>
      </c>
      <c r="AG16" s="99">
        <f>+VLOOKUP(AG$6,Housing!$B$2:$E$36,4,FALSE)</f>
        <v>3.9931583537412187</v>
      </c>
      <c r="AH16" s="99">
        <f>+VLOOKUP(AH$6,Housing!$B$2:$E$36,4,FALSE)</f>
        <v>252.12218857861996</v>
      </c>
      <c r="AI16" s="99">
        <f>+VLOOKUP(AI$6,Housing!$B$2:$E$36,4,FALSE)</f>
        <v>160.04716408969742</v>
      </c>
      <c r="AJ16" s="99">
        <f>+VLOOKUP(AJ$6,Housing!$B$2:$E$36,4,FALSE)</f>
        <v>68.432861974487125</v>
      </c>
      <c r="AK16" s="99">
        <f>+VLOOKUP(AK$6,Housing!$B$2:$E$36,4,FALSE)</f>
        <v>44.179009340939487</v>
      </c>
      <c r="AL16" s="99">
        <f>+VLOOKUP(AL$6,Housing!$B$2:$E$36,4,FALSE)</f>
        <v>80.870797437965578</v>
      </c>
      <c r="AM16" s="99">
        <f>+VLOOKUP(AM$6,Housing!$B$2:$E$36,4,FALSE)</f>
        <v>191.02091579460716</v>
      </c>
      <c r="AN16" s="99">
        <f>+VLOOKUP(AN$6,Housing!$B$2:$E$36,4,FALSE)</f>
        <v>137.82686036998811</v>
      </c>
      <c r="AO16" s="99">
        <f>+VLOOKUP(AO$6,Housing!$B$2:$E$36,4,FALSE)</f>
        <v>249.60945135695118</v>
      </c>
      <c r="AP16" s="100">
        <f>+VLOOKUP(AP$6,Housing!$B$2:$E$36,4,FALSE)</f>
        <v>151.79480794700115</v>
      </c>
    </row>
    <row r="17" spans="2:42">
      <c r="B17" t="s">
        <v>76</v>
      </c>
      <c r="C17" s="5">
        <f>Culture!D41</f>
        <v>222</v>
      </c>
      <c r="D17" s="5">
        <f>Culture!D42</f>
        <v>296</v>
      </c>
      <c r="E17" s="5">
        <f>Culture!D43</f>
        <v>185</v>
      </c>
      <c r="H17" s="98">
        <f>+VLOOKUP(H$6,Culture!$B$5:$D$39,3,FALSE)</f>
        <v>74</v>
      </c>
      <c r="I17" s="99">
        <f>+VLOOKUP(I$6,Culture!$B$5:$D$39,3,FALSE)</f>
        <v>148</v>
      </c>
      <c r="J17" s="99">
        <f>+VLOOKUP(J$6,Culture!$B$5:$D$39,3,FALSE)</f>
        <v>111</v>
      </c>
      <c r="K17" s="99">
        <f>+VLOOKUP(K$6,Culture!$B$5:$D$39,3,FALSE)</f>
        <v>74</v>
      </c>
      <c r="L17" s="99">
        <f>+VLOOKUP(L$6,Culture!$B$5:$D$39,3,FALSE)</f>
        <v>222</v>
      </c>
      <c r="M17" s="99">
        <f>+VLOOKUP(M$6,Culture!$B$5:$D$39,3,FALSE)</f>
        <v>74</v>
      </c>
      <c r="N17" s="99">
        <f>+VLOOKUP(N$6,Culture!$B$5:$D$39,3,FALSE)</f>
        <v>111</v>
      </c>
      <c r="O17" s="99">
        <f>+VLOOKUP(O$6,Culture!$B$5:$D$39,3,FALSE)</f>
        <v>148</v>
      </c>
      <c r="P17" s="99">
        <f>+VLOOKUP(P$6,Culture!$B$5:$D$39,3,FALSE)</f>
        <v>148</v>
      </c>
      <c r="Q17" s="99">
        <f>+VLOOKUP(Q$6,Culture!$B$5:$D$39,3,FALSE)</f>
        <v>259</v>
      </c>
      <c r="R17" s="99">
        <f>+VLOOKUP(R$6,Culture!$B$5:$D$39,3,FALSE)</f>
        <v>111</v>
      </c>
      <c r="S17" s="99">
        <f>+VLOOKUP(S$6,Culture!$B$5:$D$39,3,FALSE)</f>
        <v>37</v>
      </c>
      <c r="T17" s="99">
        <f>+VLOOKUP(T$6,Culture!$B$5:$D$39,3,FALSE)</f>
        <v>74</v>
      </c>
      <c r="U17" s="99">
        <f>+VLOOKUP(U$6,Culture!$B$5:$D$39,3,FALSE)</f>
        <v>111</v>
      </c>
      <c r="V17" s="99">
        <f>+VLOOKUP(V$6,Culture!$B$5:$D$39,3,FALSE)</f>
        <v>148</v>
      </c>
      <c r="W17" s="99">
        <f>+VLOOKUP(W$6,Culture!$B$5:$D$39,3,FALSE)</f>
        <v>111</v>
      </c>
      <c r="X17" s="99">
        <f>+VLOOKUP(X$6,Culture!$B$5:$D$39,3,FALSE)</f>
        <v>296</v>
      </c>
      <c r="Y17" s="99">
        <f>+VLOOKUP(Y$6,Culture!$B$5:$D$39,3,FALSE)</f>
        <v>185</v>
      </c>
      <c r="Z17" s="99">
        <f>+VLOOKUP(Z$6,Culture!$B$5:$D$39,3,FALSE)</f>
        <v>185</v>
      </c>
      <c r="AA17" s="99">
        <f>+VLOOKUP(AA$6,Culture!$B$5:$D$39,3,FALSE)</f>
        <v>333</v>
      </c>
      <c r="AB17" s="99">
        <f>+VLOOKUP(AB$6,Culture!$B$5:$D$39,3,FALSE)</f>
        <v>296</v>
      </c>
      <c r="AC17" s="99">
        <f>+VLOOKUP(AC$6,Culture!$B$5:$D$39,3,FALSE)</f>
        <v>148</v>
      </c>
      <c r="AD17" s="99">
        <f>+VLOOKUP(AD$6,Culture!$B$5:$D$39,3,FALSE)</f>
        <v>148</v>
      </c>
      <c r="AE17" s="99">
        <f>+VLOOKUP(AE$6,Culture!$B$5:$D$39,3,FALSE)</f>
        <v>74</v>
      </c>
      <c r="AF17" s="99">
        <f>+VLOOKUP(AF$6,Culture!$B$5:$D$39,3,FALSE)</f>
        <v>37</v>
      </c>
      <c r="AG17" s="99">
        <f>+VLOOKUP(AG$6,Culture!$B$5:$D$39,3,FALSE)</f>
        <v>222</v>
      </c>
      <c r="AH17" s="99">
        <f>+VLOOKUP(AH$6,Culture!$B$5:$D$39,3,FALSE)</f>
        <v>74</v>
      </c>
      <c r="AI17" s="99">
        <f>+VLOOKUP(AI$6,Culture!$B$5:$D$39,3,FALSE)</f>
        <v>74</v>
      </c>
      <c r="AJ17" s="99">
        <f>+VLOOKUP(AJ$6,Culture!$B$5:$D$39,3,FALSE)</f>
        <v>259</v>
      </c>
      <c r="AK17" s="99">
        <f>+VLOOKUP(AK$6,Culture!$B$5:$D$39,3,FALSE)</f>
        <v>111</v>
      </c>
      <c r="AL17" s="99">
        <f>+VLOOKUP(AL$6,Culture!$B$5:$D$39,3,FALSE)</f>
        <v>148</v>
      </c>
      <c r="AM17" s="99">
        <f>+VLOOKUP(AM$6,Culture!$B$5:$D$39,3,FALSE)</f>
        <v>185</v>
      </c>
      <c r="AN17" s="99">
        <f>+VLOOKUP(AN$6,Culture!$B$5:$D$39,3,FALSE)</f>
        <v>296</v>
      </c>
      <c r="AO17" s="99">
        <f>+VLOOKUP(AO$6,Culture!$B$5:$D$39,3,FALSE)</f>
        <v>74</v>
      </c>
      <c r="AP17" s="99">
        <f>+VLOOKUP(AP$6,Culture!$B$5:$D$39,3,FALSE)</f>
        <v>296</v>
      </c>
    </row>
    <row r="18" spans="2:42">
      <c r="B18" t="s">
        <v>77</v>
      </c>
      <c r="C18" s="5"/>
      <c r="D18" s="5"/>
      <c r="E18" s="5"/>
      <c r="H18" s="98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100"/>
    </row>
    <row r="19" spans="2:42">
      <c r="B19" t="s">
        <v>78</v>
      </c>
      <c r="C19" s="5">
        <f>Hospitals!D41</f>
        <v>40</v>
      </c>
      <c r="D19" s="5">
        <f>Hospitals!D42</f>
        <v>100</v>
      </c>
      <c r="E19" s="5">
        <f>Hospitals!D43</f>
        <v>100</v>
      </c>
      <c r="H19" s="98">
        <f>+VLOOKUP(H$6,Hospitals!$B$5:$D$39,3,FALSE)</f>
        <v>0</v>
      </c>
      <c r="I19" s="99">
        <f>+VLOOKUP(I$6,Hospitals!$B$5:$D$39,3,FALSE)</f>
        <v>0</v>
      </c>
      <c r="J19" s="99">
        <f>+VLOOKUP(J$6,Hospitals!$B$5:$D$39,3,FALSE)</f>
        <v>0</v>
      </c>
      <c r="K19" s="99">
        <f>+VLOOKUP(K$6,Hospitals!$B$5:$D$39,3,FALSE)</f>
        <v>0</v>
      </c>
      <c r="L19" s="99">
        <f>+VLOOKUP(L$6,Hospitals!$B$5:$D$39,3,FALSE)</f>
        <v>40</v>
      </c>
      <c r="M19" s="99">
        <f>+VLOOKUP(M$6,Hospitals!$B$5:$D$39,3,FALSE)</f>
        <v>40</v>
      </c>
      <c r="N19" s="99">
        <f>+VLOOKUP(N$6,Hospitals!$B$5:$D$39,3,FALSE)</f>
        <v>0</v>
      </c>
      <c r="O19" s="99">
        <f>+VLOOKUP(O$6,Hospitals!$B$5:$D$39,3,FALSE)</f>
        <v>0</v>
      </c>
      <c r="P19" s="99">
        <f>+VLOOKUP(P$6,Hospitals!$B$5:$D$39,3,FALSE)</f>
        <v>0</v>
      </c>
      <c r="Q19" s="99">
        <f>+VLOOKUP(Q$6,Hospitals!$B$5:$D$39,3,FALSE)</f>
        <v>0</v>
      </c>
      <c r="R19" s="99">
        <f>+VLOOKUP(R$6,Hospitals!$B$5:$D$39,3,FALSE)</f>
        <v>40</v>
      </c>
      <c r="S19" s="99">
        <f>+VLOOKUP(S$6,Hospitals!$B$5:$D$39,3,FALSE)</f>
        <v>0</v>
      </c>
      <c r="T19" s="99">
        <f>+VLOOKUP(T$6,Hospitals!$B$5:$D$39,3,FALSE)</f>
        <v>0</v>
      </c>
      <c r="U19" s="99">
        <f>+VLOOKUP(U$6,Hospitals!$B$5:$D$39,3,FALSE)</f>
        <v>0</v>
      </c>
      <c r="V19" s="99">
        <f>+VLOOKUP(V$6,Hospitals!$B$5:$D$39,3,FALSE)</f>
        <v>0</v>
      </c>
      <c r="W19" s="99">
        <f>+VLOOKUP(W$6,Hospitals!$B$5:$D$39,3,FALSE)</f>
        <v>40</v>
      </c>
      <c r="X19" s="99">
        <f>+VLOOKUP(X$6,Hospitals!$B$5:$D$39,3,FALSE)</f>
        <v>0</v>
      </c>
      <c r="Y19" s="99">
        <f>+VLOOKUP(Y$6,Hospitals!$B$5:$D$39,3,FALSE)</f>
        <v>100</v>
      </c>
      <c r="Z19" s="99">
        <f>+VLOOKUP(Z$6,Hospitals!$B$5:$D$39,3,FALSE)</f>
        <v>40</v>
      </c>
      <c r="AA19" s="99">
        <f>+VLOOKUP(AA$6,Hospitals!$B$5:$D$39,3,FALSE)</f>
        <v>0</v>
      </c>
      <c r="AB19" s="99">
        <f>+VLOOKUP(AB$6,Hospitals!$B$5:$D$39,3,FALSE)</f>
        <v>140</v>
      </c>
      <c r="AC19" s="99">
        <f>+VLOOKUP(AC$6,Hospitals!$B$5:$D$39,3,FALSE)</f>
        <v>60</v>
      </c>
      <c r="AD19" s="99">
        <f>+VLOOKUP(AD$6,Hospitals!$B$5:$D$39,3,FALSE)</f>
        <v>40</v>
      </c>
      <c r="AE19" s="99">
        <f>+VLOOKUP(AE$6,Hospitals!$B$5:$D$39,3,FALSE)</f>
        <v>0</v>
      </c>
      <c r="AF19" s="99">
        <f>+VLOOKUP(AF$6,Hospitals!$B$5:$D$39,3,FALSE)</f>
        <v>0</v>
      </c>
      <c r="AG19" s="99">
        <f>+VLOOKUP(AG$6,Hospitals!$B$5:$D$39,3,FALSE)</f>
        <v>0</v>
      </c>
      <c r="AH19" s="99">
        <f>+VLOOKUP(AH$6,Hospitals!$B$5:$D$39,3,FALSE)</f>
        <v>40</v>
      </c>
      <c r="AI19" s="99">
        <f>+VLOOKUP(AI$6,Hospitals!$B$5:$D$39,3,FALSE)</f>
        <v>60</v>
      </c>
      <c r="AJ19" s="99">
        <f>+VLOOKUP(AJ$6,Hospitals!$B$5:$D$39,3,FALSE)</f>
        <v>40</v>
      </c>
      <c r="AK19" s="99">
        <f>+VLOOKUP(AK$6,Hospitals!$B$5:$D$39,3,FALSE)</f>
        <v>0</v>
      </c>
      <c r="AL19" s="99">
        <f>+VLOOKUP(AL$6,Hospitals!$B$5:$D$39,3,FALSE)</f>
        <v>0</v>
      </c>
      <c r="AM19" s="99">
        <f>+VLOOKUP(AM$6,Hospitals!$B$5:$D$39,3,FALSE)</f>
        <v>140</v>
      </c>
      <c r="AN19" s="99">
        <f>+VLOOKUP(AN$6,Hospitals!$B$5:$D$39,3,FALSE)</f>
        <v>100</v>
      </c>
      <c r="AO19" s="99">
        <f>+VLOOKUP(AO$6,Hospitals!$B$5:$D$39,3,FALSE)</f>
        <v>0</v>
      </c>
      <c r="AP19" s="100">
        <f>+VLOOKUP(AP$6,Hospitals!$B$5:$D$39,3,FALSE)</f>
        <v>0</v>
      </c>
    </row>
    <row r="20" spans="2:42">
      <c r="B20" t="s">
        <v>79</v>
      </c>
      <c r="C20" s="5"/>
      <c r="D20" s="5"/>
      <c r="E20" s="5"/>
      <c r="H20" s="98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100"/>
    </row>
    <row r="21" spans="2:42">
      <c r="B21" t="s">
        <v>80</v>
      </c>
      <c r="C21" s="5">
        <f>Safety!D41</f>
        <v>320</v>
      </c>
      <c r="D21" s="5">
        <f>Safety!D42</f>
        <v>395</v>
      </c>
      <c r="E21" s="5">
        <f>Safety!D43</f>
        <v>40</v>
      </c>
      <c r="H21" s="98">
        <f>+VLOOKUP(H$6,Safety!$B$5:$D$39,3,FALSE)</f>
        <v>440.00000000000006</v>
      </c>
      <c r="I21" s="99">
        <f>+VLOOKUP(I$6,Safety!$B$5:$D$39,3,FALSE)</f>
        <v>365</v>
      </c>
      <c r="J21" s="99">
        <f>+VLOOKUP(J$6,Safety!$B$5:$D$39,3,FALSE)</f>
        <v>280</v>
      </c>
      <c r="K21" s="99">
        <f>+VLOOKUP(K$6,Safety!$B$5:$D$39,3,FALSE)</f>
        <v>65</v>
      </c>
      <c r="L21" s="99">
        <f>+VLOOKUP(L$6,Safety!$B$5:$D$39,3,FALSE)</f>
        <v>320</v>
      </c>
      <c r="M21" s="99">
        <f>+VLOOKUP(M$6,Safety!$B$5:$D$39,3,FALSE)</f>
        <v>350</v>
      </c>
      <c r="N21" s="99">
        <f>+VLOOKUP(N$6,Safety!$B$5:$D$39,3,FALSE)</f>
        <v>280</v>
      </c>
      <c r="O21" s="99">
        <f>+VLOOKUP(O$6,Safety!$B$5:$D$39,3,FALSE)</f>
        <v>254.99999999999997</v>
      </c>
      <c r="P21" s="99">
        <f>+VLOOKUP(P$6,Safety!$B$5:$D$39,3,FALSE)</f>
        <v>204.99999999999997</v>
      </c>
      <c r="Q21" s="99">
        <f>+VLOOKUP(Q$6,Safety!$B$5:$D$39,3,FALSE)</f>
        <v>25</v>
      </c>
      <c r="R21" s="99">
        <f>+VLOOKUP(R$6,Safety!$B$5:$D$39,3,FALSE)</f>
        <v>175</v>
      </c>
      <c r="S21" s="99">
        <f>+VLOOKUP(S$6,Safety!$B$5:$D$39,3,FALSE)</f>
        <v>260</v>
      </c>
      <c r="T21" s="99">
        <f>+VLOOKUP(T$6,Safety!$B$5:$D$39,3,FALSE)</f>
        <v>225</v>
      </c>
      <c r="U21" s="99">
        <f>+VLOOKUP(U$6,Safety!$B$5:$D$39,3,FALSE)</f>
        <v>355</v>
      </c>
      <c r="V21" s="99">
        <f>+VLOOKUP(V$6,Safety!$B$5:$D$39,3,FALSE)</f>
        <v>80</v>
      </c>
      <c r="W21" s="99">
        <f>+VLOOKUP(W$6,Safety!$B$5:$D$39,3,FALSE)</f>
        <v>200</v>
      </c>
      <c r="X21" s="99">
        <f>+VLOOKUP(X$6,Safety!$B$5:$D$39,3,FALSE)</f>
        <v>40</v>
      </c>
      <c r="Y21" s="99">
        <f>+VLOOKUP(Y$6,Safety!$B$5:$D$39,3,FALSE)</f>
        <v>40</v>
      </c>
      <c r="Z21" s="99">
        <f>+VLOOKUP(Z$6,Safety!$B$5:$D$39,3,FALSE)</f>
        <v>60</v>
      </c>
      <c r="AA21" s="99">
        <f>+VLOOKUP(AA$6,Safety!$B$5:$D$39,3,FALSE)</f>
        <v>175</v>
      </c>
      <c r="AB21" s="99">
        <f>+VLOOKUP(AB$6,Safety!$B$5:$D$39,3,FALSE)</f>
        <v>10</v>
      </c>
      <c r="AC21" s="99">
        <f>+VLOOKUP(AC$6,Safety!$B$5:$D$39,3,FALSE)</f>
        <v>160</v>
      </c>
      <c r="AD21" s="99">
        <f>+VLOOKUP(AD$6,Safety!$B$5:$D$39,3,FALSE)</f>
        <v>270</v>
      </c>
      <c r="AE21" s="99">
        <f>+VLOOKUP(AE$6,Safety!$B$5:$D$39,3,FALSE)</f>
        <v>305</v>
      </c>
      <c r="AF21" s="99">
        <f>+VLOOKUP(AF$6,Safety!$B$5:$D$39,3,FALSE)</f>
        <v>200</v>
      </c>
      <c r="AG21" s="99">
        <f>+VLOOKUP(AG$6,Safety!$B$5:$D$39,3,FALSE)</f>
        <v>325</v>
      </c>
      <c r="AH21" s="99">
        <f>+VLOOKUP(AH$6,Safety!$B$5:$D$39,3,FALSE)</f>
        <v>280</v>
      </c>
      <c r="AI21" s="99">
        <f>+VLOOKUP(AI$6,Safety!$B$5:$D$39,3,FALSE)</f>
        <v>300</v>
      </c>
      <c r="AJ21" s="99">
        <f>+VLOOKUP(AJ$6,Safety!$B$5:$D$39,3,FALSE)</f>
        <v>210</v>
      </c>
      <c r="AK21" s="99">
        <f>+VLOOKUP(AK$6,Safety!$B$5:$D$39,3,FALSE)</f>
        <v>170</v>
      </c>
      <c r="AL21" s="99">
        <f>+VLOOKUP(AL$6,Safety!$B$5:$D$39,3,FALSE)</f>
        <v>240</v>
      </c>
      <c r="AM21" s="99">
        <f>+VLOOKUP(AM$6,Safety!$B$5:$D$39,3,FALSE)</f>
        <v>325</v>
      </c>
      <c r="AN21" s="99">
        <f>+VLOOKUP(AN$6,Safety!$B$5:$D$39,3,FALSE)</f>
        <v>395</v>
      </c>
      <c r="AO21" s="99">
        <f>+VLOOKUP(AO$6,Safety!$B$5:$D$39,3,FALSE)</f>
        <v>110.00000000000001</v>
      </c>
      <c r="AP21" s="100">
        <f>+VLOOKUP(AP$6,Safety!$B$5:$D$39,3,FALSE)</f>
        <v>120</v>
      </c>
    </row>
    <row r="22" spans="2:42">
      <c r="B22" t="s">
        <v>81</v>
      </c>
      <c r="C22" s="5">
        <f>Shops!D41</f>
        <v>84</v>
      </c>
      <c r="D22" s="5">
        <f>Shops!D42</f>
        <v>0</v>
      </c>
      <c r="E22" s="5">
        <f>Shops!D43</f>
        <v>280</v>
      </c>
      <c r="H22" s="98">
        <f>+VLOOKUP(H$6,Shops!$B$5:$D$39,3,FALSE)</f>
        <v>0</v>
      </c>
      <c r="I22" s="99">
        <f>+VLOOKUP(I$6,Shops!$B$5:$D$39,3,FALSE)</f>
        <v>196</v>
      </c>
      <c r="J22" s="99">
        <f>+VLOOKUP(J$6,Shops!$B$5:$D$39,3,FALSE)</f>
        <v>84</v>
      </c>
      <c r="K22" s="99">
        <f>+VLOOKUP(K$6,Shops!$B$5:$D$39,3,FALSE)</f>
        <v>0</v>
      </c>
      <c r="L22" s="99">
        <f>+VLOOKUP(L$6,Shops!$B$5:$D$39,3,FALSE)</f>
        <v>84</v>
      </c>
      <c r="M22" s="99">
        <f>+VLOOKUP(M$6,Shops!$B$5:$D$39,3,FALSE)</f>
        <v>84</v>
      </c>
      <c r="N22" s="99">
        <f>+VLOOKUP(N$6,Shops!$B$5:$D$39,3,FALSE)</f>
        <v>84</v>
      </c>
      <c r="O22" s="99">
        <f>+VLOOKUP(O$6,Shops!$B$5:$D$39,3,FALSE)</f>
        <v>84</v>
      </c>
      <c r="P22" s="99">
        <f>+VLOOKUP(P$6,Shops!$B$5:$D$39,3,FALSE)</f>
        <v>84</v>
      </c>
      <c r="Q22" s="99">
        <f>+VLOOKUP(Q$6,Shops!$B$5:$D$39,3,FALSE)</f>
        <v>280</v>
      </c>
      <c r="R22" s="99">
        <f>+VLOOKUP(R$6,Shops!$B$5:$D$39,3,FALSE)</f>
        <v>0</v>
      </c>
      <c r="S22" s="99">
        <f>+VLOOKUP(S$6,Shops!$B$5:$D$39,3,FALSE)</f>
        <v>0</v>
      </c>
      <c r="T22" s="99">
        <f>+VLOOKUP(T$6,Shops!$B$5:$D$39,3,FALSE)</f>
        <v>84</v>
      </c>
      <c r="U22" s="99">
        <f>+VLOOKUP(U$6,Shops!$B$5:$D$39,3,FALSE)</f>
        <v>0</v>
      </c>
      <c r="V22" s="99">
        <f>+VLOOKUP(V$6,Shops!$B$5:$D$39,3,FALSE)</f>
        <v>84</v>
      </c>
      <c r="W22" s="99">
        <f>+VLOOKUP(W$6,Shops!$B$5:$D$39,3,FALSE)</f>
        <v>0</v>
      </c>
      <c r="X22" s="99">
        <f>+VLOOKUP(X$6,Shops!$B$5:$D$39,3,FALSE)</f>
        <v>196</v>
      </c>
      <c r="Y22" s="99">
        <f>+VLOOKUP(Y$6,Shops!$B$5:$D$39,3,FALSE)</f>
        <v>280</v>
      </c>
      <c r="Z22" s="99">
        <f>+VLOOKUP(Z$6,Shops!$B$5:$D$39,3,FALSE)</f>
        <v>196</v>
      </c>
      <c r="AA22" s="99">
        <f>+VLOOKUP(AA$6,Shops!$B$5:$D$39,3,FALSE)</f>
        <v>196</v>
      </c>
      <c r="AB22" s="99">
        <f>+VLOOKUP(AB$6,Shops!$B$5:$D$39,3,FALSE)</f>
        <v>0</v>
      </c>
      <c r="AC22" s="99">
        <f>+VLOOKUP(AC$6,Shops!$B$5:$D$39,3,FALSE)</f>
        <v>84</v>
      </c>
      <c r="AD22" s="99">
        <f>+VLOOKUP(AD$6,Shops!$B$5:$D$39,3,FALSE)</f>
        <v>84</v>
      </c>
      <c r="AE22" s="99">
        <f>+VLOOKUP(AE$6,Shops!$B$5:$D$39,3,FALSE)</f>
        <v>84</v>
      </c>
      <c r="AF22" s="99">
        <f>+VLOOKUP(AF$6,Shops!$B$5:$D$39,3,FALSE)</f>
        <v>0</v>
      </c>
      <c r="AG22" s="99">
        <f>+VLOOKUP(AG$6,Shops!$B$5:$D$39,3,FALSE)</f>
        <v>196</v>
      </c>
      <c r="AH22" s="99">
        <f>+VLOOKUP(AH$6,Shops!$B$5:$D$39,3,FALSE)</f>
        <v>84</v>
      </c>
      <c r="AI22" s="99">
        <f>+VLOOKUP(AI$6,Shops!$B$5:$D$39,3,FALSE)</f>
        <v>0</v>
      </c>
      <c r="AJ22" s="99">
        <f>+VLOOKUP(AJ$6,Shops!$B$5:$D$39,3,FALSE)</f>
        <v>196</v>
      </c>
      <c r="AK22" s="99">
        <f>+VLOOKUP(AK$6,Shops!$B$5:$D$39,3,FALSE)</f>
        <v>84</v>
      </c>
      <c r="AL22" s="99">
        <f>+VLOOKUP(AL$6,Shops!$B$5:$D$39,3,FALSE)</f>
        <v>280</v>
      </c>
      <c r="AM22" s="99">
        <f>+VLOOKUP(AM$6,Shops!$B$5:$D$39,3,FALSE)</f>
        <v>0</v>
      </c>
      <c r="AN22" s="99">
        <f>+VLOOKUP(AN$6,Shops!$B$5:$D$39,3,FALSE)</f>
        <v>0</v>
      </c>
      <c r="AO22" s="99">
        <f>+VLOOKUP(AO$6,Shops!$B$5:$D$39,3,FALSE)</f>
        <v>0</v>
      </c>
      <c r="AP22" s="100">
        <f>+VLOOKUP(AP$6,Shops!$B$5:$D$39,3,FALSE)</f>
        <v>280</v>
      </c>
    </row>
    <row r="23" spans="2:42">
      <c r="B23" t="s">
        <v>271</v>
      </c>
      <c r="C23" s="5">
        <f>Air!E50</f>
        <v>30</v>
      </c>
      <c r="D23" s="5">
        <f>Air!E51</f>
        <v>18</v>
      </c>
      <c r="E23" s="5">
        <f>Air!E52</f>
        <v>24</v>
      </c>
      <c r="H23" s="98">
        <f>INDEX(Air!$C$14:$E$48,MATCH(OBJ!H6,Air!$B$14:$B$48,FALSE),MATCH("User Scaled Score",Air!$C$13:$E$13,FALSE))</f>
        <v>30</v>
      </c>
      <c r="I23" s="99">
        <f>INDEX(Air!$C$14:$E$48,MATCH(OBJ!I6,Air!$B$14:$B$48,FALSE),MATCH("User Scaled Score",Air!$C$13:$E$13,FALSE))</f>
        <v>24</v>
      </c>
      <c r="J23" s="99">
        <f>INDEX(Air!$C$14:$E$48,MATCH(OBJ!J6,Air!$B$14:$B$48,FALSE),MATCH("User Scaled Score",Air!$C$13:$E$13,FALSE))</f>
        <v>30</v>
      </c>
      <c r="K23" s="99">
        <f>INDEX(Air!$C$14:$E$48,MATCH(OBJ!K6,Air!$B$14:$B$48,FALSE),MATCH("User Scaled Score",Air!$C$13:$E$13,FALSE))</f>
        <v>12</v>
      </c>
      <c r="L23" s="99">
        <f>INDEX(Air!$C$14:$E$48,MATCH(OBJ!L6,Air!$B$14:$B$48,FALSE),MATCH("User Scaled Score",Air!$C$13:$E$13,FALSE))</f>
        <v>30</v>
      </c>
      <c r="M23" s="99">
        <f>INDEX(Air!$C$14:$E$48,MATCH(OBJ!M6,Air!$B$14:$B$48,FALSE),MATCH("User Scaled Score",Air!$C$13:$E$13,FALSE))</f>
        <v>30</v>
      </c>
      <c r="N23" s="99">
        <f>INDEX(Air!$C$14:$E$48,MATCH(OBJ!N6,Air!$B$14:$B$48,FALSE),MATCH("User Scaled Score",Air!$C$13:$E$13,FALSE))</f>
        <v>24</v>
      </c>
      <c r="O23" s="99">
        <f>INDEX(Air!$C$14:$E$48,MATCH(OBJ!O6,Air!$B$14:$B$48,FALSE),MATCH("User Scaled Score",Air!$C$13:$E$13,FALSE))</f>
        <v>24</v>
      </c>
      <c r="P23" s="99">
        <f>INDEX(Air!$C$14:$E$48,MATCH(OBJ!P6,Air!$B$14:$B$48,FALSE),MATCH("User Scaled Score",Air!$C$13:$E$13,FALSE))</f>
        <v>24</v>
      </c>
      <c r="Q23" s="99">
        <f>INDEX(Air!$C$14:$E$48,MATCH(OBJ!Q6,Air!$B$14:$B$48,FALSE),MATCH("User Scaled Score",Air!$C$13:$E$13,FALSE))</f>
        <v>24</v>
      </c>
      <c r="R23" s="99">
        <f>INDEX(Air!$C$14:$E$48,MATCH(OBJ!R6,Air!$B$14:$B$48,FALSE),MATCH("User Scaled Score",Air!$C$13:$E$13,FALSE))</f>
        <v>24</v>
      </c>
      <c r="S23" s="99">
        <f>INDEX(Air!$C$14:$E$48,MATCH(OBJ!S6,Air!$B$14:$B$48,FALSE),MATCH("User Scaled Score",Air!$C$13:$E$13,FALSE))</f>
        <v>18</v>
      </c>
      <c r="T23" s="99">
        <f>INDEX(Air!$C$14:$E$48,MATCH(OBJ!T6,Air!$B$14:$B$48,FALSE),MATCH("User Scaled Score",Air!$C$13:$E$13,FALSE))</f>
        <v>18</v>
      </c>
      <c r="U23" s="99">
        <f>INDEX(Air!$C$14:$E$48,MATCH(OBJ!U6,Air!$B$14:$B$48,FALSE),MATCH("User Scaled Score",Air!$C$13:$E$13,FALSE))</f>
        <v>24</v>
      </c>
      <c r="V23" s="99">
        <f>INDEX(Air!$C$14:$E$48,MATCH(OBJ!V6,Air!$B$14:$B$48,FALSE),MATCH("User Scaled Score",Air!$C$13:$E$13,FALSE))</f>
        <v>30</v>
      </c>
      <c r="W23" s="99">
        <f>INDEX(Air!$C$14:$E$48,MATCH(OBJ!W6,Air!$B$14:$B$48,FALSE),MATCH("User Scaled Score",Air!$C$13:$E$13,FALSE))</f>
        <v>18</v>
      </c>
      <c r="X23" s="99">
        <f>INDEX(Air!$C$14:$E$48,MATCH(OBJ!X6,Air!$B$14:$B$48,FALSE),MATCH("User Scaled Score",Air!$C$13:$E$13,FALSE))</f>
        <v>24</v>
      </c>
      <c r="Y23" s="99">
        <f>INDEX(Air!$C$14:$E$48,MATCH(OBJ!Y6,Air!$B$14:$B$48,FALSE),MATCH("User Scaled Score",Air!$C$13:$E$13,FALSE))</f>
        <v>24</v>
      </c>
      <c r="Z23" s="99">
        <f>INDEX(Air!$C$14:$E$48,MATCH(OBJ!Z6,Air!$B$14:$B$48,FALSE),MATCH("User Scaled Score",Air!$C$13:$E$13,FALSE))</f>
        <v>24</v>
      </c>
      <c r="AA23" s="99">
        <f>INDEX(Air!$C$14:$E$48,MATCH(OBJ!AA6,Air!$B$14:$B$48,FALSE),MATCH("User Scaled Score",Air!$C$13:$E$13,FALSE))</f>
        <v>24</v>
      </c>
      <c r="AB23" s="99">
        <f>INDEX(Air!$C$14:$E$48,MATCH(OBJ!AB6,Air!$B$14:$B$48,FALSE),MATCH("User Scaled Score",Air!$C$13:$E$13,FALSE))</f>
        <v>18</v>
      </c>
      <c r="AC23" s="99">
        <f>INDEX(Air!$C$14:$E$48,MATCH(OBJ!AC6,Air!$B$14:$B$48,FALSE),MATCH("User Scaled Score",Air!$C$13:$E$13,FALSE))</f>
        <v>18</v>
      </c>
      <c r="AD23" s="99">
        <f>INDEX(Air!$C$14:$E$48,MATCH(OBJ!AD6,Air!$B$14:$B$48,FALSE),MATCH("User Scaled Score",Air!$C$13:$E$13,FALSE))</f>
        <v>30</v>
      </c>
      <c r="AE23" s="99">
        <f>INDEX(Air!$C$14:$E$48,MATCH(OBJ!AE6,Air!$B$14:$B$48,FALSE),MATCH("User Scaled Score",Air!$C$13:$E$13,FALSE))</f>
        <v>30</v>
      </c>
      <c r="AF23" s="99">
        <f>INDEX(Air!$C$14:$E$48,MATCH(OBJ!AF6,Air!$B$14:$B$48,FALSE),MATCH("User Scaled Score",Air!$C$13:$E$13,FALSE))</f>
        <v>30</v>
      </c>
      <c r="AG23" s="99">
        <f>INDEX(Air!$C$14:$E$48,MATCH(OBJ!AG6,Air!$B$14:$B$48,FALSE),MATCH("User Scaled Score",Air!$C$13:$E$13,FALSE))</f>
        <v>30</v>
      </c>
      <c r="AH23" s="99">
        <f>INDEX(Air!$C$14:$E$48,MATCH(OBJ!AH6,Air!$B$14:$B$48,FALSE),MATCH("User Scaled Score",Air!$C$13:$E$13,FALSE))</f>
        <v>30</v>
      </c>
      <c r="AI23" s="99">
        <f>INDEX(Air!$C$14:$E$48,MATCH(OBJ!AI6,Air!$B$14:$B$48,FALSE),MATCH("User Scaled Score",Air!$C$13:$E$13,FALSE))</f>
        <v>24</v>
      </c>
      <c r="AJ23" s="99">
        <f>INDEX(Air!$C$14:$E$48,MATCH(OBJ!AJ6,Air!$B$14:$B$48,FALSE),MATCH("User Scaled Score",Air!$C$13:$E$13,FALSE))</f>
        <v>18</v>
      </c>
      <c r="AK23" s="99">
        <f>INDEX(Air!$C$14:$E$48,MATCH(OBJ!AK6,Air!$B$14:$B$48,FALSE),MATCH("User Scaled Score",Air!$C$13:$E$13,FALSE))</f>
        <v>30</v>
      </c>
      <c r="AL23" s="99">
        <f>INDEX(Air!$C$14:$E$48,MATCH(OBJ!AL6,Air!$B$14:$B$48,FALSE),MATCH("User Scaled Score",Air!$C$13:$E$13,FALSE))</f>
        <v>18</v>
      </c>
      <c r="AM23" s="99">
        <f>INDEX(Air!$C$14:$E$48,MATCH(OBJ!AM6,Air!$B$14:$B$48,FALSE),MATCH("User Scaled Score",Air!$C$13:$E$13,FALSE))</f>
        <v>6</v>
      </c>
      <c r="AN23" s="99">
        <f>INDEX(Air!$C$14:$E$48,MATCH(OBJ!AN6,Air!$B$14:$B$48,FALSE),MATCH("User Scaled Score",Air!$C$13:$E$13,FALSE))</f>
        <v>18</v>
      </c>
      <c r="AO23" s="99">
        <f>INDEX(Air!$C$14:$E$48,MATCH(OBJ!AO6,Air!$B$14:$B$48,FALSE),MATCH("User Scaled Score",Air!$C$13:$E$13,FALSE))</f>
        <v>6</v>
      </c>
      <c r="AP23" s="100">
        <f>INDEX(Air!$C$14:$E$48,MATCH(OBJ!AP6,Air!$B$14:$B$48,FALSE),MATCH("User Scaled Score",Air!$C$13:$E$13,FALSE))</f>
        <v>30</v>
      </c>
    </row>
    <row r="24" spans="2:42">
      <c r="B24" t="s">
        <v>82</v>
      </c>
      <c r="C24" s="5"/>
      <c r="D24" s="5"/>
      <c r="E24" s="5"/>
      <c r="H24" s="98">
        <f>+VLOOKUP(H$6,Schools!$B$2:$D$36,3,FALSE)</f>
        <v>40</v>
      </c>
      <c r="I24" s="99">
        <f>+VLOOKUP(I$6,Schools!$B$2:$D$36,3,FALSE)</f>
        <v>40</v>
      </c>
      <c r="J24" s="99">
        <f>+VLOOKUP(J$6,Schools!$B$2:$D$36,3,FALSE)</f>
        <v>40</v>
      </c>
      <c r="K24" s="99">
        <f>+VLOOKUP(K$6,Schools!$B$2:$D$36,3,FALSE)</f>
        <v>40</v>
      </c>
      <c r="L24" s="99">
        <f>+VLOOKUP(L$6,Schools!$B$2:$D$36,3,FALSE)</f>
        <v>40</v>
      </c>
      <c r="M24" s="99">
        <f>+VLOOKUP(M$6,Schools!$B$2:$D$36,3,FALSE)</f>
        <v>40</v>
      </c>
      <c r="N24" s="99">
        <f>+VLOOKUP(N$6,Schools!$B$2:$D$36,3,FALSE)</f>
        <v>40</v>
      </c>
      <c r="O24" s="99">
        <f>+VLOOKUP(O$6,Schools!$B$2:$D$36,3,FALSE)</f>
        <v>40</v>
      </c>
      <c r="P24" s="99">
        <f>+VLOOKUP(P$6,Schools!$B$2:$D$36,3,FALSE)</f>
        <v>40</v>
      </c>
      <c r="Q24" s="99">
        <f>+VLOOKUP(Q$6,Schools!$B$2:$D$36,3,FALSE)</f>
        <v>40</v>
      </c>
      <c r="R24" s="99">
        <f>+VLOOKUP(R$6,Schools!$B$2:$D$36,3,FALSE)</f>
        <v>40</v>
      </c>
      <c r="S24" s="99">
        <f>+VLOOKUP(S$6,Schools!$B$2:$D$36,3,FALSE)</f>
        <v>40</v>
      </c>
      <c r="T24" s="99">
        <f>+VLOOKUP(T$6,Schools!$B$2:$D$36,3,FALSE)</f>
        <v>40</v>
      </c>
      <c r="U24" s="99">
        <f>+VLOOKUP(U$6,Schools!$B$2:$D$36,3,FALSE)</f>
        <v>40</v>
      </c>
      <c r="V24" s="99">
        <f>+VLOOKUP(V$6,Schools!$B$2:$D$36,3,FALSE)</f>
        <v>40</v>
      </c>
      <c r="W24" s="99">
        <f>+VLOOKUP(W$6,Schools!$B$2:$D$36,3,FALSE)</f>
        <v>40</v>
      </c>
      <c r="X24" s="99">
        <f>+VLOOKUP(X$6,Schools!$B$2:$D$36,3,FALSE)</f>
        <v>40</v>
      </c>
      <c r="Y24" s="99">
        <f>+VLOOKUP(Y$6,Schools!$B$2:$D$36,3,FALSE)</f>
        <v>40</v>
      </c>
      <c r="Z24" s="99">
        <f>+VLOOKUP(Z$6,Schools!$B$2:$D$36,3,FALSE)</f>
        <v>40</v>
      </c>
      <c r="AA24" s="99">
        <f>+VLOOKUP(AA$6,Schools!$B$2:$D$36,3,FALSE)</f>
        <v>40</v>
      </c>
      <c r="AB24" s="99">
        <f>+VLOOKUP(AB$6,Schools!$B$2:$D$36,3,FALSE)</f>
        <v>40</v>
      </c>
      <c r="AC24" s="99">
        <f>+VLOOKUP(AC$6,Schools!$B$2:$D$36,3,FALSE)</f>
        <v>40</v>
      </c>
      <c r="AD24" s="99">
        <f>+VLOOKUP(AD$6,Schools!$B$2:$D$36,3,FALSE)</f>
        <v>40</v>
      </c>
      <c r="AE24" s="99">
        <f>+VLOOKUP(AE$6,Schools!$B$2:$D$36,3,FALSE)</f>
        <v>40</v>
      </c>
      <c r="AF24" s="99">
        <f>+VLOOKUP(AF$6,Schools!$B$2:$D$36,3,FALSE)</f>
        <v>40</v>
      </c>
      <c r="AG24" s="99">
        <f>+VLOOKUP(AG$6,Schools!$B$2:$D$36,3,FALSE)</f>
        <v>40</v>
      </c>
      <c r="AH24" s="99">
        <f>+VLOOKUP(AH$6,Schools!$B$2:$D$36,3,FALSE)</f>
        <v>40</v>
      </c>
      <c r="AI24" s="99">
        <f>+VLOOKUP(AI$6,Schools!$B$2:$D$36,3,FALSE)</f>
        <v>40</v>
      </c>
      <c r="AJ24" s="99">
        <f>+VLOOKUP(AJ$6,Schools!$B$2:$D$36,3,FALSE)</f>
        <v>40</v>
      </c>
      <c r="AK24" s="99">
        <f>+VLOOKUP(AK$6,Schools!$B$2:$D$36,3,FALSE)</f>
        <v>40</v>
      </c>
      <c r="AL24" s="99">
        <f>+VLOOKUP(AL$6,Schools!$B$2:$D$36,3,FALSE)</f>
        <v>40</v>
      </c>
      <c r="AM24" s="99">
        <f>+VLOOKUP(AM$6,Schools!$B$2:$D$36,3,FALSE)</f>
        <v>40</v>
      </c>
      <c r="AN24" s="99">
        <f>+VLOOKUP(AN$6,Schools!$B$2:$D$36,3,FALSE)</f>
        <v>40</v>
      </c>
      <c r="AO24" s="99">
        <f>+VLOOKUP(AO$6,Schools!$B$2:$D$36,3,FALSE)</f>
        <v>40</v>
      </c>
      <c r="AP24" s="100">
        <f>+VLOOKUP(AP$6,Schools!$B$2:$D$36,3,FALSE)</f>
        <v>40</v>
      </c>
    </row>
    <row r="25" spans="2:42">
      <c r="B25" t="s">
        <v>83</v>
      </c>
      <c r="C25" s="5">
        <f>Movies!D40</f>
        <v>218.80558132294041</v>
      </c>
      <c r="D25" s="5">
        <f>Movies!D41</f>
        <v>197.35966082714648</v>
      </c>
      <c r="E25" s="5">
        <f>Movies!D42</f>
        <v>157.86942428630275</v>
      </c>
      <c r="H25" s="98">
        <f>INDEX(Movies!$C$4:$D$38,MATCH(OBJ!H6,Movies!$B$4:$B$38,FALSE),MATCH("User Scaled Score",Movies!$C$3:$D$3,FALSE))</f>
        <v>105.79602587601447</v>
      </c>
      <c r="I25" s="99">
        <f>INDEX(Movies!$C$4:$D$38,MATCH(OBJ!I6,Movies!$B$4:$B$38,FALSE),MATCH("User Scaled Score",Movies!$C$3:$D$3,FALSE))</f>
        <v>157.86942428630275</v>
      </c>
      <c r="J25" s="99">
        <f>INDEX(Movies!$C$4:$D$38,MATCH(OBJ!J6,Movies!$B$4:$B$38,FALSE),MATCH("User Scaled Score",Movies!$C$3:$D$3,FALSE))</f>
        <v>56.61890038579434</v>
      </c>
      <c r="K25" s="99">
        <f>INDEX(Movies!$C$4:$D$38,MATCH(OBJ!K6,Movies!$B$4:$B$38,FALSE),MATCH("User Scaled Score",Movies!$C$3:$D$3,FALSE))</f>
        <v>56.61890038579434</v>
      </c>
      <c r="L25" s="99">
        <f>INDEX(Movies!$C$4:$D$38,MATCH(OBJ!L6,Movies!$B$4:$B$38,FALSE),MATCH("User Scaled Score",Movies!$C$3:$D$3,FALSE))</f>
        <v>218.80558132294041</v>
      </c>
      <c r="M25" s="99">
        <f>INDEX(Movies!$C$4:$D$38,MATCH(OBJ!M6,Movies!$B$4:$B$38,FALSE),MATCH("User Scaled Score",Movies!$C$3:$D$3,FALSE))</f>
        <v>56.61890038579434</v>
      </c>
      <c r="N25" s="99">
        <f>INDEX(Movies!$C$4:$D$38,MATCH(OBJ!N6,Movies!$B$4:$B$38,FALSE),MATCH("User Scaled Score",Movies!$C$3:$D$3,FALSE))</f>
        <v>105.79602587601447</v>
      </c>
      <c r="O25" s="99">
        <f>INDEX(Movies!$C$4:$D$38,MATCH(OBJ!O6,Movies!$B$4:$B$38,FALSE),MATCH("User Scaled Score",Movies!$C$3:$D$3,FALSE))</f>
        <v>56.61890038579434</v>
      </c>
      <c r="P25" s="99">
        <f>INDEX(Movies!$C$4:$D$38,MATCH(OBJ!P6,Movies!$B$4:$B$38,FALSE),MATCH("User Scaled Score",Movies!$C$3:$D$3,FALSE))</f>
        <v>56.61890038579434</v>
      </c>
      <c r="Q25" s="99">
        <f>INDEX(Movies!$C$4:$D$38,MATCH(OBJ!Q6,Movies!$B$4:$B$38,FALSE),MATCH("User Scaled Score",Movies!$C$3:$D$3,FALSE))</f>
        <v>218.80558132294041</v>
      </c>
      <c r="R25" s="99">
        <f>INDEX(Movies!$C$4:$D$38,MATCH(OBJ!R6,Movies!$B$4:$B$38,FALSE),MATCH("User Scaled Score",Movies!$C$3:$D$3,FALSE))</f>
        <v>105.79602587601447</v>
      </c>
      <c r="S25" s="99">
        <f>INDEX(Movies!$C$4:$D$38,MATCH(OBJ!S6,Movies!$B$4:$B$38,FALSE),MATCH("User Scaled Score",Movies!$C$3:$D$3,FALSE))</f>
        <v>56.61890038579434</v>
      </c>
      <c r="T25" s="99">
        <f>INDEX(Movies!$C$4:$D$38,MATCH(OBJ!T6,Movies!$B$4:$B$38,FALSE),MATCH("User Scaled Score",Movies!$C$3:$D$3,FALSE))</f>
        <v>105.79602587601447</v>
      </c>
      <c r="U25" s="99">
        <f>INDEX(Movies!$C$4:$D$38,MATCH(OBJ!U6,Movies!$B$4:$B$38,FALSE),MATCH("User Scaled Score",Movies!$C$3:$D$3,FALSE))</f>
        <v>56.61890038579434</v>
      </c>
      <c r="V25" s="99">
        <f>INDEX(Movies!$C$4:$D$38,MATCH(OBJ!V6,Movies!$B$4:$B$38,FALSE),MATCH("User Scaled Score",Movies!$C$3:$D$3,FALSE))</f>
        <v>56.61890038579434</v>
      </c>
      <c r="W25" s="99">
        <f>INDEX(Movies!$C$4:$D$38,MATCH(OBJ!W6,Movies!$B$4:$B$38,FALSE),MATCH("User Scaled Score",Movies!$C$3:$D$3,FALSE))</f>
        <v>105.79602587601447</v>
      </c>
      <c r="X25" s="99">
        <f>INDEX(Movies!$C$4:$D$38,MATCH(OBJ!X6,Movies!$B$4:$B$38,FALSE),MATCH("User Scaled Score",Movies!$C$3:$D$3,FALSE))</f>
        <v>157.86942428630275</v>
      </c>
      <c r="Y25" s="99">
        <f>INDEX(Movies!$C$4:$D$38,MATCH(OBJ!Y6,Movies!$B$4:$B$38,FALSE),MATCH("User Scaled Score",Movies!$C$3:$D$3,FALSE))</f>
        <v>157.86942428630275</v>
      </c>
      <c r="Z25" s="99">
        <f>INDEX(Movies!$C$4:$D$38,MATCH(OBJ!Z6,Movies!$B$4:$B$38,FALSE),MATCH("User Scaled Score",Movies!$C$3:$D$3,FALSE))</f>
        <v>56.61890038579434</v>
      </c>
      <c r="AA25" s="99">
        <f>INDEX(Movies!$C$4:$D$38,MATCH(OBJ!AA6,Movies!$B$4:$B$38,FALSE),MATCH("User Scaled Score",Movies!$C$3:$D$3,FALSE))</f>
        <v>56.61890038579434</v>
      </c>
      <c r="AB25" s="99">
        <f>INDEX(Movies!$C$4:$D$38,MATCH(OBJ!AB6,Movies!$B$4:$B$38,FALSE),MATCH("User Scaled Score",Movies!$C$3:$D$3,FALSE))</f>
        <v>105.79602587601447</v>
      </c>
      <c r="AC25" s="99">
        <f>INDEX(Movies!$C$4:$D$38,MATCH(OBJ!AC6,Movies!$B$4:$B$38,FALSE),MATCH("User Scaled Score",Movies!$C$3:$D$3,FALSE))</f>
        <v>105.79602587601447</v>
      </c>
      <c r="AD25" s="99">
        <f>INDEX(Movies!$C$4:$D$38,MATCH(OBJ!AD6,Movies!$B$4:$B$38,FALSE),MATCH("User Scaled Score",Movies!$C$3:$D$3,FALSE))</f>
        <v>56.61890038579434</v>
      </c>
      <c r="AE25" s="99">
        <f>INDEX(Movies!$C$4:$D$38,MATCH(OBJ!AE6,Movies!$B$4:$B$38,FALSE),MATCH("User Scaled Score",Movies!$C$3:$D$3,FALSE))</f>
        <v>56.61890038579434</v>
      </c>
      <c r="AF25" s="99">
        <f>INDEX(Movies!$C$4:$D$38,MATCH(OBJ!AF6,Movies!$B$4:$B$38,FALSE),MATCH("User Scaled Score",Movies!$C$3:$D$3,FALSE))</f>
        <v>56.61890038579434</v>
      </c>
      <c r="AG25" s="99">
        <f>INDEX(Movies!$C$4:$D$38,MATCH(OBJ!AG6,Movies!$B$4:$B$38,FALSE),MATCH("User Scaled Score",Movies!$C$3:$D$3,FALSE))</f>
        <v>157.86942428630275</v>
      </c>
      <c r="AH25" s="99">
        <f>INDEX(Movies!$C$4:$D$38,MATCH(OBJ!AH6,Movies!$B$4:$B$38,FALSE),MATCH("User Scaled Score",Movies!$C$3:$D$3,FALSE))</f>
        <v>56.61890038579434</v>
      </c>
      <c r="AI25" s="99">
        <f>INDEX(Movies!$C$4:$D$38,MATCH(OBJ!AI6,Movies!$B$4:$B$38,FALSE),MATCH("User Scaled Score",Movies!$C$3:$D$3,FALSE))</f>
        <v>56.61890038579434</v>
      </c>
      <c r="AJ25" s="99">
        <f>INDEX(Movies!$C$4:$D$38,MATCH(OBJ!AJ6,Movies!$B$4:$B$38,FALSE),MATCH("User Scaled Score",Movies!$C$3:$D$3,FALSE))</f>
        <v>218.80558132294041</v>
      </c>
      <c r="AK25" s="99">
        <f>INDEX(Movies!$C$4:$D$38,MATCH(OBJ!AK6,Movies!$B$4:$B$38,FALSE),MATCH("User Scaled Score",Movies!$C$3:$D$3,FALSE))</f>
        <v>105.79602587601447</v>
      </c>
      <c r="AL25" s="99">
        <f>INDEX(Movies!$C$4:$D$38,MATCH(OBJ!AL6,Movies!$B$4:$B$38,FALSE),MATCH("User Scaled Score",Movies!$C$3:$D$3,FALSE))</f>
        <v>105.79602587601447</v>
      </c>
      <c r="AM25" s="99">
        <f>INDEX(Movies!$C$4:$D$38,MATCH(OBJ!AM6,Movies!$B$4:$B$38,FALSE),MATCH("User Scaled Score",Movies!$C$3:$D$3,FALSE))</f>
        <v>229.9927874226928</v>
      </c>
      <c r="AN25" s="99">
        <f>INDEX(Movies!$C$4:$D$38,MATCH(OBJ!AN6,Movies!$B$4:$B$38,FALSE),MATCH("User Scaled Score",Movies!$C$3:$D$3,FALSE))</f>
        <v>197.35966082714648</v>
      </c>
      <c r="AO25" s="99">
        <f>INDEX(Movies!$C$4:$D$38,MATCH(OBJ!AO6,Movies!$B$4:$B$38,FALSE),MATCH("User Scaled Score",Movies!$C$3:$D$3,FALSE))</f>
        <v>105.79602587601447</v>
      </c>
      <c r="AP25" s="100">
        <f>INDEX(Movies!$C$4:$D$38,MATCH(OBJ!AP6,Movies!$B$4:$B$38,FALSE),MATCH("User Scaled Score",Movies!$C$3:$D$3,FALSE))</f>
        <v>56.61890038579434</v>
      </c>
    </row>
    <row r="26" spans="2:42">
      <c r="B26" t="s">
        <v>84</v>
      </c>
      <c r="C26" s="5"/>
      <c r="D26" s="5"/>
      <c r="E26" s="5"/>
      <c r="H26" s="101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3"/>
    </row>
    <row r="27" spans="2:42" ht="15.75" thickBot="1">
      <c r="C27" s="5"/>
      <c r="D27" s="5"/>
      <c r="E27" s="5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</row>
    <row r="28" spans="2:42" ht="16.5" thickTop="1" thickBot="1">
      <c r="B28" s="64" t="s">
        <v>85</v>
      </c>
      <c r="C28" s="75">
        <f>SUM(C7:C26)</f>
        <v>1204.8467214757404</v>
      </c>
      <c r="D28" s="75">
        <f>SUM(D7:D26)</f>
        <v>1134.0215062479208</v>
      </c>
      <c r="E28" s="75">
        <f>SUM(E7:E26)</f>
        <v>921.0801624841007</v>
      </c>
      <c r="F28" s="63">
        <f>SUM(C28:E28)</f>
        <v>3259.9483902077618</v>
      </c>
      <c r="G28" s="91"/>
      <c r="H28" s="92">
        <f t="shared" ref="H28:AP28" si="2">SUM(H7:H26)</f>
        <v>1089.852192278506</v>
      </c>
      <c r="I28" s="93">
        <f t="shared" si="2"/>
        <v>1413.8389487425334</v>
      </c>
      <c r="J28" s="93">
        <f t="shared" si="2"/>
        <v>1085.2645785455363</v>
      </c>
      <c r="K28" s="93">
        <f t="shared" si="2"/>
        <v>-99331.604194253901</v>
      </c>
      <c r="L28" s="93">
        <f t="shared" si="2"/>
        <v>1706.4188671172587</v>
      </c>
      <c r="M28" s="93">
        <f t="shared" si="2"/>
        <v>1151.5250287274584</v>
      </c>
      <c r="N28" s="93">
        <f t="shared" si="2"/>
        <v>1272.2793099119631</v>
      </c>
      <c r="O28" s="93">
        <f t="shared" si="2"/>
        <v>1194.5225976395404</v>
      </c>
      <c r="P28" s="93">
        <f t="shared" si="2"/>
        <v>1092.7795012790461</v>
      </c>
      <c r="Q28" s="93">
        <f t="shared" si="2"/>
        <v>1400.1382403686907</v>
      </c>
      <c r="R28" s="93">
        <f t="shared" si="2"/>
        <v>-99043.116649868374</v>
      </c>
      <c r="S28" s="93">
        <f t="shared" si="2"/>
        <v>-99102.225066146464</v>
      </c>
      <c r="T28" s="93">
        <f t="shared" si="2"/>
        <v>1052.4264202713755</v>
      </c>
      <c r="U28" s="93">
        <f t="shared" si="2"/>
        <v>1247.0533885979291</v>
      </c>
      <c r="V28" s="93">
        <f t="shared" si="2"/>
        <v>710.76864240162172</v>
      </c>
      <c r="W28" s="93">
        <f t="shared" si="2"/>
        <v>1322.480113911631</v>
      </c>
      <c r="X28" s="93">
        <f t="shared" si="2"/>
        <v>1351.99302519361</v>
      </c>
      <c r="Y28" s="93">
        <f t="shared" si="2"/>
        <v>1585.2581192770574</v>
      </c>
      <c r="Z28" s="93">
        <f t="shared" si="2"/>
        <v>1052.6085867334125</v>
      </c>
      <c r="AA28" s="93">
        <f t="shared" si="2"/>
        <v>1351.4870186892522</v>
      </c>
      <c r="AB28" s="93">
        <f t="shared" si="2"/>
        <v>-98975.319026378638</v>
      </c>
      <c r="AC28" s="93">
        <f t="shared" si="2"/>
        <v>1345.5784142194279</v>
      </c>
      <c r="AD28" s="93">
        <f t="shared" si="2"/>
        <v>1029.6478961204016</v>
      </c>
      <c r="AE28" s="93">
        <f t="shared" si="2"/>
        <v>1057.6973760848091</v>
      </c>
      <c r="AF28" s="93">
        <f t="shared" si="2"/>
        <v>-99257.674962201505</v>
      </c>
      <c r="AG28" s="93">
        <f t="shared" si="2"/>
        <v>1415.7334397441068</v>
      </c>
      <c r="AH28" s="93">
        <f t="shared" si="2"/>
        <v>1089.0552844388021</v>
      </c>
      <c r="AI28" s="93">
        <f t="shared" si="2"/>
        <v>1092.7683387033233</v>
      </c>
      <c r="AJ28" s="93">
        <f t="shared" si="2"/>
        <v>1496.6790113212235</v>
      </c>
      <c r="AK28" s="93">
        <f t="shared" si="2"/>
        <v>947.06163877773542</v>
      </c>
      <c r="AL28" s="93">
        <f t="shared" si="2"/>
        <v>1364.3469690734721</v>
      </c>
      <c r="AM28" s="93">
        <f t="shared" si="2"/>
        <v>1592.490313325281</v>
      </c>
      <c r="AN28" s="93">
        <f t="shared" si="2"/>
        <v>1605.7892960078857</v>
      </c>
      <c r="AO28" s="93">
        <f t="shared" si="2"/>
        <v>-99096.751806847329</v>
      </c>
      <c r="AP28" s="94">
        <f t="shared" si="2"/>
        <v>1530.5330644439223</v>
      </c>
    </row>
    <row r="29" spans="2:42" ht="15.75" thickTop="1"/>
    <row r="31" spans="2:42">
      <c r="C31">
        <v>1</v>
      </c>
      <c r="D31" s="95" t="str">
        <f>HLOOKUP(C31,$H$3:$AP$6,4,FALSE)</f>
        <v>East Village</v>
      </c>
      <c r="E31" s="104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</row>
    <row r="32" spans="2:42">
      <c r="C32">
        <v>2</v>
      </c>
      <c r="D32" s="98" t="str">
        <f>HLOOKUP(C32,$H$3:$AP$6,4,FALSE)</f>
        <v>Upper West Side</v>
      </c>
      <c r="E32" s="105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</row>
    <row r="33" spans="2:42">
      <c r="C33">
        <v>3</v>
      </c>
      <c r="D33" s="101" t="str">
        <f>HLOOKUP(C33,$H$3:$AP$6,4,FALSE)</f>
        <v>Upper East Side</v>
      </c>
      <c r="E33" s="106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</row>
    <row r="34" spans="2:42"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</row>
    <row r="35" spans="2:42">
      <c r="B35">
        <v>1</v>
      </c>
      <c r="C35" t="s">
        <v>11</v>
      </c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</row>
    <row r="36" spans="2:42">
      <c r="B36">
        <f>+B35+1</f>
        <v>2</v>
      </c>
      <c r="C36" t="s">
        <v>13</v>
      </c>
    </row>
    <row r="37" spans="2:42">
      <c r="B37">
        <f t="shared" ref="B37:B69" si="3">+B36+1</f>
        <v>3</v>
      </c>
      <c r="C37" t="s">
        <v>14</v>
      </c>
    </row>
    <row r="38" spans="2:42">
      <c r="B38">
        <f t="shared" si="3"/>
        <v>4</v>
      </c>
      <c r="C38" t="s">
        <v>17</v>
      </c>
    </row>
    <row r="39" spans="2:42">
      <c r="B39">
        <f t="shared" si="3"/>
        <v>5</v>
      </c>
      <c r="C39" t="s">
        <v>18</v>
      </c>
    </row>
    <row r="40" spans="2:42">
      <c r="B40">
        <f t="shared" si="3"/>
        <v>6</v>
      </c>
      <c r="C40" t="s">
        <v>19</v>
      </c>
    </row>
    <row r="41" spans="2:42">
      <c r="B41">
        <f t="shared" si="3"/>
        <v>7</v>
      </c>
      <c r="C41" t="s">
        <v>20</v>
      </c>
    </row>
    <row r="42" spans="2:42">
      <c r="B42">
        <f t="shared" si="3"/>
        <v>8</v>
      </c>
      <c r="C42" t="s">
        <v>21</v>
      </c>
    </row>
    <row r="43" spans="2:42">
      <c r="B43">
        <f t="shared" si="3"/>
        <v>9</v>
      </c>
      <c r="C43" t="s">
        <v>22</v>
      </c>
    </row>
    <row r="44" spans="2:42">
      <c r="B44">
        <f t="shared" si="3"/>
        <v>10</v>
      </c>
      <c r="C44" t="s">
        <v>23</v>
      </c>
    </row>
    <row r="45" spans="2:42">
      <c r="B45">
        <f t="shared" si="3"/>
        <v>11</v>
      </c>
      <c r="C45" t="s">
        <v>25</v>
      </c>
    </row>
    <row r="46" spans="2:42">
      <c r="B46">
        <f t="shared" si="3"/>
        <v>12</v>
      </c>
      <c r="C46" t="s">
        <v>27</v>
      </c>
    </row>
    <row r="47" spans="2:42">
      <c r="B47">
        <f t="shared" si="3"/>
        <v>13</v>
      </c>
      <c r="C47" t="s">
        <v>28</v>
      </c>
    </row>
    <row r="48" spans="2:42">
      <c r="B48">
        <f t="shared" si="3"/>
        <v>14</v>
      </c>
      <c r="C48" t="s">
        <v>29</v>
      </c>
    </row>
    <row r="49" spans="2:3">
      <c r="B49">
        <f t="shared" si="3"/>
        <v>15</v>
      </c>
      <c r="C49" t="s">
        <v>61</v>
      </c>
    </row>
    <row r="50" spans="2:3">
      <c r="B50">
        <f t="shared" si="3"/>
        <v>16</v>
      </c>
      <c r="C50" t="s">
        <v>31</v>
      </c>
    </row>
    <row r="51" spans="2:3">
      <c r="B51">
        <f t="shared" si="3"/>
        <v>17</v>
      </c>
      <c r="C51" t="s">
        <v>33</v>
      </c>
    </row>
    <row r="52" spans="2:3">
      <c r="B52">
        <f t="shared" si="3"/>
        <v>18</v>
      </c>
      <c r="C52" t="s">
        <v>34</v>
      </c>
    </row>
    <row r="53" spans="2:3">
      <c r="B53">
        <f t="shared" si="3"/>
        <v>19</v>
      </c>
      <c r="C53" t="s">
        <v>35</v>
      </c>
    </row>
    <row r="54" spans="2:3">
      <c r="B54">
        <f t="shared" si="3"/>
        <v>20</v>
      </c>
      <c r="C54" t="s">
        <v>36</v>
      </c>
    </row>
    <row r="55" spans="2:3">
      <c r="B55">
        <f t="shared" si="3"/>
        <v>21</v>
      </c>
      <c r="C55" t="s">
        <v>37</v>
      </c>
    </row>
    <row r="56" spans="2:3">
      <c r="B56">
        <f t="shared" si="3"/>
        <v>22</v>
      </c>
      <c r="C56" t="s">
        <v>38</v>
      </c>
    </row>
    <row r="57" spans="2:3">
      <c r="B57">
        <f t="shared" si="3"/>
        <v>23</v>
      </c>
      <c r="C57" t="s">
        <v>39</v>
      </c>
    </row>
    <row r="58" spans="2:3">
      <c r="B58">
        <f t="shared" si="3"/>
        <v>24</v>
      </c>
      <c r="C58" t="s">
        <v>52</v>
      </c>
    </row>
    <row r="59" spans="2:3">
      <c r="B59">
        <f t="shared" si="3"/>
        <v>25</v>
      </c>
      <c r="C59" t="s">
        <v>40</v>
      </c>
    </row>
    <row r="60" spans="2:3">
      <c r="B60">
        <f t="shared" si="3"/>
        <v>26</v>
      </c>
      <c r="C60" t="s">
        <v>41</v>
      </c>
    </row>
    <row r="61" spans="2:3">
      <c r="B61">
        <f t="shared" si="3"/>
        <v>27</v>
      </c>
      <c r="C61" t="s">
        <v>53</v>
      </c>
    </row>
    <row r="62" spans="2:3">
      <c r="B62">
        <f t="shared" si="3"/>
        <v>28</v>
      </c>
      <c r="C62" t="s">
        <v>42</v>
      </c>
    </row>
    <row r="63" spans="2:3">
      <c r="B63">
        <f t="shared" si="3"/>
        <v>29</v>
      </c>
      <c r="C63" t="s">
        <v>43</v>
      </c>
    </row>
    <row r="64" spans="2:3">
      <c r="B64">
        <f t="shared" si="3"/>
        <v>30</v>
      </c>
      <c r="C64" t="s">
        <v>44</v>
      </c>
    </row>
    <row r="65" spans="2:3">
      <c r="B65">
        <f t="shared" si="3"/>
        <v>31</v>
      </c>
      <c r="C65" t="s">
        <v>46</v>
      </c>
    </row>
    <row r="66" spans="2:3">
      <c r="B66">
        <f t="shared" si="3"/>
        <v>32</v>
      </c>
      <c r="C66" t="s">
        <v>47</v>
      </c>
    </row>
    <row r="67" spans="2:3">
      <c r="B67">
        <f t="shared" si="3"/>
        <v>33</v>
      </c>
      <c r="C67" t="s">
        <v>62</v>
      </c>
    </row>
    <row r="68" spans="2:3">
      <c r="B68">
        <f t="shared" si="3"/>
        <v>34</v>
      </c>
      <c r="C68" t="s">
        <v>48</v>
      </c>
    </row>
    <row r="69" spans="2:3">
      <c r="B69">
        <f t="shared" si="3"/>
        <v>35</v>
      </c>
      <c r="C69" t="s">
        <v>49</v>
      </c>
    </row>
  </sheetData>
  <phoneticPr fontId="16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W156"/>
  <sheetViews>
    <sheetView topLeftCell="A87" zoomScaleNormal="100" workbookViewId="0">
      <selection activeCell="A87" sqref="A87"/>
    </sheetView>
  </sheetViews>
  <sheetFormatPr defaultColWidth="12.5703125" defaultRowHeight="12.75"/>
  <cols>
    <col min="1" max="1" width="34.5703125" style="20" bestFit="1" customWidth="1"/>
    <col min="2" max="2" width="28.140625" style="20" bestFit="1" customWidth="1"/>
    <col min="3" max="39" width="5.5703125" style="20" customWidth="1"/>
    <col min="40" max="16384" width="12.5703125" style="20"/>
  </cols>
  <sheetData>
    <row r="1" spans="1:37" hidden="1">
      <c r="A1" s="20" t="s">
        <v>119</v>
      </c>
      <c r="B1" s="20">
        <v>10</v>
      </c>
    </row>
    <row r="2" spans="1:37" hidden="1">
      <c r="A2" s="20" t="s">
        <v>120</v>
      </c>
      <c r="B2" s="20">
        <v>15</v>
      </c>
    </row>
    <row r="3" spans="1:37" hidden="1">
      <c r="A3" s="20" t="s">
        <v>121</v>
      </c>
      <c r="B3" s="20">
        <v>20</v>
      </c>
    </row>
    <row r="4" spans="1:37" hidden="1">
      <c r="A4" s="20" t="s">
        <v>122</v>
      </c>
      <c r="B4" s="20">
        <v>30</v>
      </c>
      <c r="X4" s="20" t="s">
        <v>28</v>
      </c>
    </row>
    <row r="5" spans="1:37" hidden="1">
      <c r="A5" s="20" t="s">
        <v>123</v>
      </c>
      <c r="B5" s="20">
        <v>40</v>
      </c>
      <c r="X5" s="20" t="s">
        <v>124</v>
      </c>
    </row>
    <row r="6" spans="1:37" hidden="1">
      <c r="A6" s="20" t="s">
        <v>125</v>
      </c>
      <c r="B6" s="20">
        <v>50</v>
      </c>
      <c r="X6" s="20" t="s">
        <v>38</v>
      </c>
    </row>
    <row r="7" spans="1:37" hidden="1">
      <c r="A7" s="20" t="s">
        <v>126</v>
      </c>
      <c r="B7" s="20">
        <v>60</v>
      </c>
      <c r="X7" s="20" t="s">
        <v>127</v>
      </c>
    </row>
    <row r="8" spans="1:37" hidden="1">
      <c r="A8" s="20" t="s">
        <v>128</v>
      </c>
      <c r="B8" s="20">
        <v>75</v>
      </c>
      <c r="X8" s="20" t="s">
        <v>42</v>
      </c>
    </row>
    <row r="9" spans="1:37" hidden="1">
      <c r="A9" s="20" t="s">
        <v>129</v>
      </c>
      <c r="B9" s="20">
        <v>90</v>
      </c>
    </row>
    <row r="10" spans="1:37" hidden="1">
      <c r="A10" s="20" t="s">
        <v>130</v>
      </c>
      <c r="B10" s="20">
        <v>120</v>
      </c>
    </row>
    <row r="11" spans="1:37" hidden="1">
      <c r="A11" s="20" t="s">
        <v>131</v>
      </c>
      <c r="C11" s="20" t="s">
        <v>11</v>
      </c>
      <c r="D11" s="20" t="s">
        <v>13</v>
      </c>
      <c r="E11" s="20" t="s">
        <v>14</v>
      </c>
      <c r="F11" s="20" t="s">
        <v>17</v>
      </c>
      <c r="G11" s="20" t="s">
        <v>18</v>
      </c>
      <c r="H11" s="20" t="s">
        <v>19</v>
      </c>
      <c r="I11" s="20" t="s">
        <v>20</v>
      </c>
      <c r="J11" s="20" t="s">
        <v>21</v>
      </c>
      <c r="K11" s="20" t="s">
        <v>22</v>
      </c>
      <c r="L11" s="20" t="s">
        <v>23</v>
      </c>
      <c r="M11" s="20" t="s">
        <v>25</v>
      </c>
      <c r="N11" s="20" t="s">
        <v>27</v>
      </c>
      <c r="O11" s="20" t="s">
        <v>28</v>
      </c>
      <c r="P11" s="20" t="s">
        <v>29</v>
      </c>
      <c r="Q11" s="20" t="s">
        <v>61</v>
      </c>
      <c r="R11" s="20" t="s">
        <v>31</v>
      </c>
      <c r="S11" s="20" t="s">
        <v>33</v>
      </c>
      <c r="T11" s="20" t="s">
        <v>34</v>
      </c>
      <c r="U11" s="20" t="s">
        <v>35</v>
      </c>
      <c r="V11" s="20" t="s">
        <v>36</v>
      </c>
      <c r="W11" s="20" t="s">
        <v>37</v>
      </c>
      <c r="X11" s="20" t="s">
        <v>38</v>
      </c>
      <c r="Y11" s="20" t="s">
        <v>39</v>
      </c>
      <c r="Z11" s="20" t="s">
        <v>52</v>
      </c>
      <c r="AA11" s="20" t="s">
        <v>40</v>
      </c>
      <c r="AB11" s="20" t="s">
        <v>41</v>
      </c>
      <c r="AC11" s="20" t="s">
        <v>53</v>
      </c>
      <c r="AD11" s="20" t="s">
        <v>42</v>
      </c>
      <c r="AE11" s="20" t="s">
        <v>43</v>
      </c>
      <c r="AF11" s="20" t="s">
        <v>44</v>
      </c>
      <c r="AG11" s="20" t="s">
        <v>46</v>
      </c>
      <c r="AH11" s="20" t="s">
        <v>47</v>
      </c>
      <c r="AI11" s="20" t="s">
        <v>62</v>
      </c>
      <c r="AJ11" s="20" t="s">
        <v>48</v>
      </c>
      <c r="AK11" s="20" t="s">
        <v>49</v>
      </c>
    </row>
    <row r="12" spans="1:37" hidden="1">
      <c r="A12" s="20" t="s">
        <v>168</v>
      </c>
      <c r="B12" s="20" t="s">
        <v>11</v>
      </c>
      <c r="C12" s="20">
        <v>0</v>
      </c>
      <c r="D12" s="20">
        <v>30</v>
      </c>
      <c r="E12" s="20">
        <v>15</v>
      </c>
      <c r="F12" s="20">
        <v>50</v>
      </c>
      <c r="G12" s="20">
        <v>30</v>
      </c>
      <c r="H12" s="20">
        <v>5</v>
      </c>
      <c r="I12" s="20">
        <v>25</v>
      </c>
      <c r="J12" s="20">
        <v>30</v>
      </c>
      <c r="K12" s="20">
        <v>30</v>
      </c>
      <c r="L12" s="20">
        <v>20</v>
      </c>
      <c r="M12" s="20">
        <v>40</v>
      </c>
      <c r="N12" s="20">
        <v>75</v>
      </c>
      <c r="O12" s="20">
        <v>30</v>
      </c>
      <c r="P12" s="20">
        <v>25</v>
      </c>
      <c r="Q12" s="20">
        <v>20</v>
      </c>
      <c r="R12" s="20">
        <v>30</v>
      </c>
      <c r="S12" s="20">
        <v>30</v>
      </c>
      <c r="T12" s="20">
        <v>35</v>
      </c>
      <c r="U12" s="20">
        <v>30</v>
      </c>
      <c r="V12" s="20">
        <v>30</v>
      </c>
      <c r="W12" s="20">
        <v>50</v>
      </c>
      <c r="X12" s="20">
        <v>30</v>
      </c>
      <c r="Y12" s="20">
        <v>20</v>
      </c>
      <c r="Z12" s="20">
        <v>20</v>
      </c>
      <c r="AA12" s="20">
        <v>45</v>
      </c>
      <c r="AB12" s="20">
        <v>15</v>
      </c>
      <c r="AC12" s="20">
        <v>20</v>
      </c>
      <c r="AD12" s="20">
        <v>35</v>
      </c>
      <c r="AE12" s="20">
        <v>25</v>
      </c>
      <c r="AF12" s="20">
        <v>10</v>
      </c>
      <c r="AG12" s="20">
        <v>20</v>
      </c>
      <c r="AH12" s="20">
        <v>35</v>
      </c>
      <c r="AI12" s="20">
        <v>40</v>
      </c>
      <c r="AJ12" s="20">
        <v>60</v>
      </c>
      <c r="AK12" s="20">
        <v>15</v>
      </c>
    </row>
    <row r="13" spans="1:37" hidden="1">
      <c r="A13" s="20" t="s">
        <v>132</v>
      </c>
      <c r="B13" s="20" t="s">
        <v>13</v>
      </c>
      <c r="D13" s="20">
        <v>0</v>
      </c>
      <c r="E13" s="20">
        <v>25</v>
      </c>
      <c r="F13" s="20">
        <v>45</v>
      </c>
      <c r="G13" s="20">
        <v>30</v>
      </c>
      <c r="H13" s="20">
        <v>15</v>
      </c>
      <c r="I13" s="20">
        <v>10</v>
      </c>
      <c r="J13" s="20">
        <v>10</v>
      </c>
      <c r="K13" s="20">
        <v>20</v>
      </c>
      <c r="L13" s="20">
        <v>15</v>
      </c>
      <c r="M13" s="20">
        <v>40</v>
      </c>
      <c r="N13" s="20">
        <v>65</v>
      </c>
      <c r="O13" s="20">
        <v>25</v>
      </c>
      <c r="P13" s="20">
        <v>5</v>
      </c>
      <c r="Q13" s="20">
        <v>20</v>
      </c>
      <c r="R13" s="20">
        <v>25</v>
      </c>
      <c r="S13" s="20">
        <v>20</v>
      </c>
      <c r="T13" s="20">
        <v>25</v>
      </c>
      <c r="U13" s="20">
        <v>20</v>
      </c>
      <c r="V13" s="20">
        <v>20</v>
      </c>
      <c r="W13" s="20">
        <v>40</v>
      </c>
      <c r="X13" s="20">
        <v>25</v>
      </c>
      <c r="Y13" s="20">
        <v>20</v>
      </c>
      <c r="Z13" s="20">
        <v>20</v>
      </c>
      <c r="AA13" s="20">
        <v>50</v>
      </c>
      <c r="AB13" s="20">
        <v>20</v>
      </c>
      <c r="AC13" s="20">
        <v>25</v>
      </c>
      <c r="AD13" s="20">
        <v>30</v>
      </c>
      <c r="AE13" s="20">
        <v>5</v>
      </c>
      <c r="AF13" s="20">
        <v>15</v>
      </c>
      <c r="AG13" s="20">
        <v>20</v>
      </c>
      <c r="AH13" s="20">
        <v>40</v>
      </c>
      <c r="AI13" s="20">
        <v>30</v>
      </c>
      <c r="AJ13" s="20">
        <v>50</v>
      </c>
      <c r="AK13" s="20">
        <v>15</v>
      </c>
    </row>
    <row r="14" spans="1:37" hidden="1">
      <c r="A14" s="20" t="s">
        <v>133</v>
      </c>
      <c r="B14" s="20" t="s">
        <v>14</v>
      </c>
      <c r="E14" s="20">
        <v>0</v>
      </c>
      <c r="F14" s="20">
        <v>45</v>
      </c>
      <c r="G14" s="20">
        <v>15</v>
      </c>
      <c r="H14" s="20">
        <v>10</v>
      </c>
      <c r="I14" s="20">
        <v>15</v>
      </c>
      <c r="J14" s="20">
        <v>20</v>
      </c>
      <c r="K14" s="20">
        <v>25</v>
      </c>
      <c r="L14" s="20">
        <v>15</v>
      </c>
      <c r="M14" s="20">
        <v>40</v>
      </c>
      <c r="N14" s="20">
        <f t="shared" ref="N14:N22" si="0">AJ14+10</f>
        <v>75</v>
      </c>
      <c r="O14" s="20">
        <f t="shared" ref="O14:O19" si="1">K14</f>
        <v>25</v>
      </c>
      <c r="P14" s="20">
        <f t="shared" ref="P14:P24" si="2">AE14</f>
        <v>25</v>
      </c>
      <c r="Q14" s="20">
        <f t="shared" ref="Q14:Q25" si="3">Z14</f>
        <v>15</v>
      </c>
      <c r="R14" s="20">
        <v>15</v>
      </c>
      <c r="S14" s="20">
        <f t="shared" ref="S14:S27" si="4">U14</f>
        <v>25</v>
      </c>
      <c r="T14" s="20">
        <v>30</v>
      </c>
      <c r="U14" s="20">
        <v>25</v>
      </c>
      <c r="V14" s="20">
        <v>35</v>
      </c>
      <c r="W14" s="20">
        <f t="shared" ref="W14:W21" si="5">AJ14-10</f>
        <v>55</v>
      </c>
      <c r="X14" s="20">
        <f>O14</f>
        <v>25</v>
      </c>
      <c r="Y14" s="20">
        <f t="shared" ref="Y14:Y33" si="6">Z14</f>
        <v>15</v>
      </c>
      <c r="Z14" s="20">
        <v>15</v>
      </c>
      <c r="AA14" s="20">
        <f t="shared" ref="AA14:AA35" si="7">AD14+10</f>
        <v>45</v>
      </c>
      <c r="AB14" s="20">
        <v>10</v>
      </c>
      <c r="AC14" s="20">
        <f t="shared" ref="AC14:AC32" si="8">X14+5</f>
        <v>30</v>
      </c>
      <c r="AD14" s="20">
        <v>35</v>
      </c>
      <c r="AE14" s="20">
        <v>25</v>
      </c>
      <c r="AF14" s="20">
        <v>15</v>
      </c>
      <c r="AG14" s="20">
        <v>15</v>
      </c>
      <c r="AH14" s="20">
        <v>30</v>
      </c>
      <c r="AI14" s="20">
        <v>35</v>
      </c>
      <c r="AJ14" s="20">
        <v>65</v>
      </c>
      <c r="AK14" s="20">
        <v>20</v>
      </c>
    </row>
    <row r="15" spans="1:37" hidden="1">
      <c r="A15" s="20" t="s">
        <v>134</v>
      </c>
      <c r="B15" s="20" t="s">
        <v>17</v>
      </c>
      <c r="F15" s="20">
        <v>0</v>
      </c>
      <c r="G15" s="20">
        <v>45</v>
      </c>
      <c r="H15" s="20">
        <v>40</v>
      </c>
      <c r="I15" s="20">
        <v>35</v>
      </c>
      <c r="J15" s="20">
        <v>30</v>
      </c>
      <c r="K15" s="20">
        <v>40</v>
      </c>
      <c r="L15" s="20">
        <v>40</v>
      </c>
      <c r="M15" s="20">
        <v>15</v>
      </c>
      <c r="N15" s="20">
        <f t="shared" si="0"/>
        <v>55</v>
      </c>
      <c r="O15" s="20">
        <f t="shared" si="1"/>
        <v>40</v>
      </c>
      <c r="P15" s="20">
        <f t="shared" si="2"/>
        <v>40</v>
      </c>
      <c r="Q15" s="20">
        <f t="shared" si="3"/>
        <v>40</v>
      </c>
      <c r="R15" s="20">
        <v>50</v>
      </c>
      <c r="S15" s="20">
        <f t="shared" si="4"/>
        <v>20</v>
      </c>
      <c r="T15" s="20">
        <v>30</v>
      </c>
      <c r="U15" s="20">
        <v>20</v>
      </c>
      <c r="V15" s="20">
        <v>45</v>
      </c>
      <c r="W15" s="20">
        <f t="shared" si="5"/>
        <v>35</v>
      </c>
      <c r="X15" s="20">
        <f>O15</f>
        <v>40</v>
      </c>
      <c r="Y15" s="20">
        <f t="shared" si="6"/>
        <v>40</v>
      </c>
      <c r="Z15" s="20">
        <v>40</v>
      </c>
      <c r="AA15" s="20">
        <f t="shared" si="7"/>
        <v>40</v>
      </c>
      <c r="AB15" s="20">
        <v>40</v>
      </c>
      <c r="AC15" s="20">
        <f t="shared" si="8"/>
        <v>45</v>
      </c>
      <c r="AD15" s="20">
        <v>30</v>
      </c>
      <c r="AE15" s="20">
        <v>40</v>
      </c>
      <c r="AF15" s="20">
        <v>50</v>
      </c>
      <c r="AG15" s="20">
        <v>30</v>
      </c>
      <c r="AH15" s="20">
        <v>20</v>
      </c>
      <c r="AI15" s="20">
        <v>35</v>
      </c>
      <c r="AJ15" s="20">
        <v>45</v>
      </c>
      <c r="AK15" s="20">
        <v>50</v>
      </c>
    </row>
    <row r="16" spans="1:37" hidden="1">
      <c r="A16" s="20" t="s">
        <v>135</v>
      </c>
      <c r="B16" s="20" t="s">
        <v>18</v>
      </c>
      <c r="G16" s="20">
        <v>0</v>
      </c>
      <c r="H16" s="20">
        <v>30</v>
      </c>
      <c r="I16" s="20">
        <v>20</v>
      </c>
      <c r="J16" s="20">
        <v>30</v>
      </c>
      <c r="K16" s="20">
        <v>15</v>
      </c>
      <c r="L16" s="20">
        <v>20</v>
      </c>
      <c r="M16" s="20">
        <v>50</v>
      </c>
      <c r="N16" s="20">
        <f t="shared" si="0"/>
        <v>80</v>
      </c>
      <c r="O16" s="20">
        <f t="shared" si="1"/>
        <v>15</v>
      </c>
      <c r="P16" s="20">
        <f t="shared" si="2"/>
        <v>35</v>
      </c>
      <c r="Q16" s="20">
        <f t="shared" si="3"/>
        <v>10</v>
      </c>
      <c r="R16" s="20">
        <v>15</v>
      </c>
      <c r="S16" s="20">
        <f t="shared" si="4"/>
        <v>30</v>
      </c>
      <c r="T16" s="20">
        <v>30</v>
      </c>
      <c r="U16" s="20">
        <v>30</v>
      </c>
      <c r="V16" s="20">
        <v>40</v>
      </c>
      <c r="W16" s="20">
        <f t="shared" si="5"/>
        <v>60</v>
      </c>
      <c r="X16" s="20">
        <f>O16</f>
        <v>15</v>
      </c>
      <c r="Y16" s="20">
        <f t="shared" si="6"/>
        <v>10</v>
      </c>
      <c r="Z16" s="20">
        <v>10</v>
      </c>
      <c r="AA16" s="20">
        <f t="shared" si="7"/>
        <v>45</v>
      </c>
      <c r="AB16" s="20">
        <v>15</v>
      </c>
      <c r="AC16" s="20">
        <f t="shared" si="8"/>
        <v>20</v>
      </c>
      <c r="AD16" s="20">
        <v>35</v>
      </c>
      <c r="AE16" s="20">
        <v>35</v>
      </c>
      <c r="AF16" s="20">
        <v>25</v>
      </c>
      <c r="AG16" s="20">
        <v>20</v>
      </c>
      <c r="AH16" s="20">
        <v>35</v>
      </c>
      <c r="AI16" s="20">
        <v>40</v>
      </c>
      <c r="AJ16" s="20">
        <v>70</v>
      </c>
      <c r="AK16" s="20">
        <v>20</v>
      </c>
    </row>
    <row r="17" spans="1:37" hidden="1">
      <c r="A17" s="20" t="s">
        <v>136</v>
      </c>
      <c r="B17" s="20" t="s">
        <v>19</v>
      </c>
      <c r="H17" s="20">
        <v>0</v>
      </c>
      <c r="I17" s="20">
        <v>20</v>
      </c>
      <c r="J17" s="20">
        <v>25</v>
      </c>
      <c r="K17" s="20">
        <v>25</v>
      </c>
      <c r="L17" s="20">
        <v>20</v>
      </c>
      <c r="M17" s="20">
        <v>40</v>
      </c>
      <c r="N17" s="20">
        <f t="shared" si="0"/>
        <v>55</v>
      </c>
      <c r="O17" s="20">
        <f t="shared" si="1"/>
        <v>25</v>
      </c>
      <c r="P17" s="20">
        <f t="shared" si="2"/>
        <v>30</v>
      </c>
      <c r="Q17" s="20">
        <f t="shared" si="3"/>
        <v>20</v>
      </c>
      <c r="R17" s="20">
        <v>25</v>
      </c>
      <c r="S17" s="20">
        <f t="shared" si="4"/>
        <v>25</v>
      </c>
      <c r="T17" s="20">
        <v>30</v>
      </c>
      <c r="U17" s="20">
        <v>25</v>
      </c>
      <c r="V17" s="20">
        <v>35</v>
      </c>
      <c r="W17" s="20">
        <f t="shared" si="5"/>
        <v>35</v>
      </c>
      <c r="X17" s="20">
        <f>O17</f>
        <v>25</v>
      </c>
      <c r="Y17" s="20">
        <f t="shared" si="6"/>
        <v>20</v>
      </c>
      <c r="Z17" s="20">
        <v>20</v>
      </c>
      <c r="AA17" s="20">
        <f t="shared" si="7"/>
        <v>45</v>
      </c>
      <c r="AB17" s="20">
        <v>15</v>
      </c>
      <c r="AC17" s="20">
        <f t="shared" si="8"/>
        <v>30</v>
      </c>
      <c r="AD17" s="20">
        <v>35</v>
      </c>
      <c r="AE17" s="20">
        <v>30</v>
      </c>
      <c r="AF17" s="20">
        <v>15</v>
      </c>
      <c r="AG17" s="20">
        <v>15</v>
      </c>
      <c r="AH17" s="20">
        <v>30</v>
      </c>
      <c r="AI17" s="20">
        <v>30</v>
      </c>
      <c r="AJ17" s="20">
        <v>45</v>
      </c>
      <c r="AK17" s="20">
        <v>20</v>
      </c>
    </row>
    <row r="18" spans="1:37" hidden="1">
      <c r="A18" s="20" t="s">
        <v>137</v>
      </c>
      <c r="B18" s="20" t="s">
        <v>20</v>
      </c>
      <c r="I18" s="20">
        <v>0</v>
      </c>
      <c r="J18" s="20">
        <v>15</v>
      </c>
      <c r="K18" s="20">
        <v>15</v>
      </c>
      <c r="L18" s="20">
        <v>10</v>
      </c>
      <c r="M18" s="20">
        <v>40</v>
      </c>
      <c r="N18" s="20">
        <f t="shared" si="0"/>
        <v>55</v>
      </c>
      <c r="O18" s="20">
        <f t="shared" si="1"/>
        <v>15</v>
      </c>
      <c r="P18" s="20">
        <f t="shared" si="2"/>
        <v>17.5</v>
      </c>
      <c r="Q18" s="20">
        <f t="shared" si="3"/>
        <v>10</v>
      </c>
      <c r="R18" s="20">
        <v>25</v>
      </c>
      <c r="S18" s="20">
        <f t="shared" si="4"/>
        <v>15</v>
      </c>
      <c r="T18" s="20">
        <v>20</v>
      </c>
      <c r="U18" s="20">
        <v>15</v>
      </c>
      <c r="V18" s="20">
        <v>25</v>
      </c>
      <c r="W18" s="20">
        <f t="shared" si="5"/>
        <v>35</v>
      </c>
      <c r="X18" s="20">
        <v>10</v>
      </c>
      <c r="Y18" s="20">
        <f t="shared" si="6"/>
        <v>10</v>
      </c>
      <c r="Z18" s="20">
        <v>10</v>
      </c>
      <c r="AA18" s="20">
        <f t="shared" si="7"/>
        <v>40</v>
      </c>
      <c r="AB18" s="20">
        <v>20</v>
      </c>
      <c r="AC18" s="20">
        <f t="shared" si="8"/>
        <v>15</v>
      </c>
      <c r="AD18" s="20">
        <v>30</v>
      </c>
      <c r="AE18" s="20">
        <v>17.5</v>
      </c>
      <c r="AF18" s="20">
        <v>30</v>
      </c>
      <c r="AG18" s="20">
        <v>10</v>
      </c>
      <c r="AH18" s="20">
        <v>20</v>
      </c>
      <c r="AI18" s="20">
        <v>30</v>
      </c>
      <c r="AJ18" s="20">
        <v>45</v>
      </c>
      <c r="AK18" s="20">
        <v>20</v>
      </c>
    </row>
    <row r="19" spans="1:37" hidden="1">
      <c r="A19" s="20" t="s">
        <v>138</v>
      </c>
      <c r="B19" s="20" t="s">
        <v>21</v>
      </c>
      <c r="J19" s="20">
        <v>0</v>
      </c>
      <c r="K19" s="20">
        <v>20</v>
      </c>
      <c r="L19" s="20">
        <v>20</v>
      </c>
      <c r="M19" s="20">
        <v>25</v>
      </c>
      <c r="N19" s="20">
        <f t="shared" si="0"/>
        <v>45</v>
      </c>
      <c r="O19" s="20">
        <f t="shared" si="1"/>
        <v>20</v>
      </c>
      <c r="P19" s="20">
        <f t="shared" si="2"/>
        <v>5</v>
      </c>
      <c r="Q19" s="20">
        <f t="shared" si="3"/>
        <v>17.5</v>
      </c>
      <c r="R19" s="20">
        <v>25</v>
      </c>
      <c r="S19" s="20">
        <f t="shared" si="4"/>
        <v>12.5</v>
      </c>
      <c r="T19" s="20">
        <v>17.5</v>
      </c>
      <c r="U19" s="20">
        <v>12.5</v>
      </c>
      <c r="V19" s="20">
        <v>15</v>
      </c>
      <c r="W19" s="20">
        <f t="shared" si="5"/>
        <v>25</v>
      </c>
      <c r="X19" s="20">
        <f>O19</f>
        <v>20</v>
      </c>
      <c r="Y19" s="20">
        <f t="shared" si="6"/>
        <v>17.5</v>
      </c>
      <c r="Z19" s="20">
        <v>17.5</v>
      </c>
      <c r="AA19" s="20">
        <f t="shared" si="7"/>
        <v>35</v>
      </c>
      <c r="AB19" s="20">
        <v>20</v>
      </c>
      <c r="AC19" s="20">
        <f t="shared" si="8"/>
        <v>25</v>
      </c>
      <c r="AD19" s="20">
        <v>25</v>
      </c>
      <c r="AE19" s="20">
        <v>5</v>
      </c>
      <c r="AF19" s="20">
        <v>20</v>
      </c>
      <c r="AG19" s="20">
        <v>15</v>
      </c>
      <c r="AH19" s="20">
        <v>30</v>
      </c>
      <c r="AI19" s="20">
        <v>20</v>
      </c>
      <c r="AJ19" s="20">
        <v>35</v>
      </c>
      <c r="AK19" s="20">
        <v>15</v>
      </c>
    </row>
    <row r="20" spans="1:37" hidden="1">
      <c r="A20" s="20" t="s">
        <v>139</v>
      </c>
      <c r="B20" s="20" t="s">
        <v>22</v>
      </c>
      <c r="K20" s="20">
        <v>0</v>
      </c>
      <c r="L20" s="20">
        <v>15</v>
      </c>
      <c r="M20" s="20">
        <v>30</v>
      </c>
      <c r="N20" s="20">
        <f t="shared" si="0"/>
        <v>75</v>
      </c>
      <c r="O20" s="20">
        <v>5</v>
      </c>
      <c r="P20" s="20">
        <f t="shared" si="2"/>
        <v>20</v>
      </c>
      <c r="Q20" s="20">
        <f t="shared" si="3"/>
        <v>15</v>
      </c>
      <c r="R20" s="20">
        <v>25</v>
      </c>
      <c r="S20" s="20">
        <f t="shared" si="4"/>
        <v>20</v>
      </c>
      <c r="T20" s="20">
        <v>20</v>
      </c>
      <c r="U20" s="20">
        <v>20</v>
      </c>
      <c r="V20" s="20">
        <v>30</v>
      </c>
      <c r="W20" s="20">
        <f t="shared" si="5"/>
        <v>55</v>
      </c>
      <c r="X20" s="20">
        <f>O20</f>
        <v>5</v>
      </c>
      <c r="Y20" s="20">
        <f t="shared" si="6"/>
        <v>15</v>
      </c>
      <c r="Z20" s="20">
        <v>15</v>
      </c>
      <c r="AA20" s="20">
        <f t="shared" si="7"/>
        <v>40</v>
      </c>
      <c r="AB20" s="20">
        <v>15</v>
      </c>
      <c r="AC20" s="20">
        <f t="shared" si="8"/>
        <v>10</v>
      </c>
      <c r="AD20" s="20">
        <v>30</v>
      </c>
      <c r="AE20" s="20">
        <v>20</v>
      </c>
      <c r="AF20" s="20">
        <v>30</v>
      </c>
      <c r="AG20" s="20">
        <v>10</v>
      </c>
      <c r="AH20" s="20">
        <v>25</v>
      </c>
      <c r="AI20" s="20">
        <v>35</v>
      </c>
      <c r="AJ20" s="20">
        <v>65</v>
      </c>
      <c r="AK20" s="20">
        <v>20</v>
      </c>
    </row>
    <row r="21" spans="1:37" hidden="1">
      <c r="A21" s="20" t="s">
        <v>140</v>
      </c>
      <c r="B21" s="20" t="s">
        <v>23</v>
      </c>
      <c r="L21" s="20">
        <v>0</v>
      </c>
      <c r="M21" s="20">
        <v>40</v>
      </c>
      <c r="N21" s="20">
        <f t="shared" si="0"/>
        <v>55</v>
      </c>
      <c r="O21" s="20">
        <v>15</v>
      </c>
      <c r="P21" s="20">
        <f t="shared" si="2"/>
        <v>15</v>
      </c>
      <c r="Q21" s="20">
        <f t="shared" si="3"/>
        <v>12.5</v>
      </c>
      <c r="R21" s="20">
        <v>25</v>
      </c>
      <c r="S21" s="20">
        <f t="shared" si="4"/>
        <v>20</v>
      </c>
      <c r="T21" s="20">
        <v>25</v>
      </c>
      <c r="U21" s="20">
        <v>20</v>
      </c>
      <c r="V21" s="20">
        <v>30</v>
      </c>
      <c r="W21" s="20">
        <f t="shared" si="5"/>
        <v>35</v>
      </c>
      <c r="X21" s="20">
        <f>O21</f>
        <v>15</v>
      </c>
      <c r="Y21" s="20">
        <f t="shared" si="6"/>
        <v>12.5</v>
      </c>
      <c r="Z21" s="20">
        <v>12.5</v>
      </c>
      <c r="AA21" s="20">
        <f t="shared" si="7"/>
        <v>40</v>
      </c>
      <c r="AB21" s="20">
        <v>15</v>
      </c>
      <c r="AC21" s="20">
        <f t="shared" si="8"/>
        <v>20</v>
      </c>
      <c r="AD21" s="20">
        <v>30</v>
      </c>
      <c r="AE21" s="20">
        <v>15</v>
      </c>
      <c r="AF21" s="20">
        <v>20</v>
      </c>
      <c r="AG21" s="20">
        <v>10</v>
      </c>
      <c r="AH21" s="20">
        <v>30</v>
      </c>
      <c r="AI21" s="20">
        <v>30</v>
      </c>
      <c r="AJ21" s="20">
        <v>45</v>
      </c>
      <c r="AK21" s="20">
        <v>5</v>
      </c>
    </row>
    <row r="22" spans="1:37" hidden="1">
      <c r="A22" s="20" t="s">
        <v>141</v>
      </c>
      <c r="B22" s="20" t="s">
        <v>25</v>
      </c>
      <c r="M22" s="20">
        <v>0</v>
      </c>
      <c r="N22" s="20">
        <f t="shared" si="0"/>
        <v>30</v>
      </c>
      <c r="O22" s="20">
        <v>45</v>
      </c>
      <c r="P22" s="20">
        <f t="shared" si="2"/>
        <v>25</v>
      </c>
      <c r="Q22" s="20">
        <f t="shared" si="3"/>
        <v>45</v>
      </c>
      <c r="R22" s="20">
        <v>50</v>
      </c>
      <c r="S22" s="20">
        <f t="shared" si="4"/>
        <v>35</v>
      </c>
      <c r="T22" s="20">
        <v>40</v>
      </c>
      <c r="U22" s="20">
        <v>35</v>
      </c>
      <c r="V22" s="20">
        <v>40</v>
      </c>
      <c r="W22" s="20">
        <v>15</v>
      </c>
      <c r="X22" s="20">
        <f>O22</f>
        <v>45</v>
      </c>
      <c r="Y22" s="20">
        <f t="shared" si="6"/>
        <v>45</v>
      </c>
      <c r="Z22" s="20">
        <v>45</v>
      </c>
      <c r="AA22" s="20">
        <f t="shared" si="7"/>
        <v>60</v>
      </c>
      <c r="AB22" s="20">
        <v>45</v>
      </c>
      <c r="AC22" s="20">
        <f t="shared" si="8"/>
        <v>50</v>
      </c>
      <c r="AD22" s="20">
        <v>50</v>
      </c>
      <c r="AE22" s="20">
        <v>25</v>
      </c>
      <c r="AF22" s="20">
        <v>50</v>
      </c>
      <c r="AG22" s="20">
        <v>40</v>
      </c>
      <c r="AH22" s="20">
        <v>35</v>
      </c>
      <c r="AI22" s="20">
        <v>30</v>
      </c>
      <c r="AJ22" s="20">
        <v>20</v>
      </c>
      <c r="AK22" s="20">
        <v>40</v>
      </c>
    </row>
    <row r="23" spans="1:37" hidden="1">
      <c r="A23" s="20" t="s">
        <v>142</v>
      </c>
      <c r="B23" s="20" t="s">
        <v>27</v>
      </c>
      <c r="N23" s="20">
        <v>0</v>
      </c>
      <c r="O23" s="20">
        <v>60</v>
      </c>
      <c r="P23" s="20">
        <f t="shared" si="2"/>
        <v>45</v>
      </c>
      <c r="Q23" s="20">
        <f t="shared" si="3"/>
        <v>50</v>
      </c>
      <c r="R23" s="20">
        <v>70</v>
      </c>
      <c r="S23" s="20">
        <f t="shared" si="4"/>
        <v>45</v>
      </c>
      <c r="T23" s="20">
        <v>50</v>
      </c>
      <c r="U23" s="20">
        <v>45</v>
      </c>
      <c r="V23" s="20">
        <v>45</v>
      </c>
      <c r="W23" s="20">
        <v>10</v>
      </c>
      <c r="X23" s="20">
        <f>O23</f>
        <v>60</v>
      </c>
      <c r="Y23" s="20">
        <f t="shared" si="6"/>
        <v>50</v>
      </c>
      <c r="Z23" s="20">
        <v>50</v>
      </c>
      <c r="AA23" s="20">
        <f t="shared" si="7"/>
        <v>80</v>
      </c>
      <c r="AB23" s="20">
        <v>55</v>
      </c>
      <c r="AC23" s="20">
        <f t="shared" si="8"/>
        <v>65</v>
      </c>
      <c r="AD23" s="20">
        <v>70</v>
      </c>
      <c r="AE23" s="20">
        <v>45</v>
      </c>
      <c r="AF23" s="20">
        <v>55</v>
      </c>
      <c r="AG23" s="20">
        <v>50</v>
      </c>
      <c r="AH23" s="20">
        <v>50</v>
      </c>
      <c r="AI23" s="20">
        <v>40</v>
      </c>
      <c r="AJ23" s="20">
        <v>15</v>
      </c>
      <c r="AK23" s="20">
        <v>50</v>
      </c>
    </row>
    <row r="24" spans="1:37" hidden="1">
      <c r="A24" s="20" t="s">
        <v>143</v>
      </c>
      <c r="B24" s="20" t="s">
        <v>28</v>
      </c>
      <c r="O24" s="20">
        <v>0</v>
      </c>
      <c r="P24" s="20">
        <f t="shared" si="2"/>
        <v>25</v>
      </c>
      <c r="Q24" s="20">
        <f t="shared" si="3"/>
        <v>20</v>
      </c>
      <c r="R24" s="20">
        <v>35</v>
      </c>
      <c r="S24" s="20">
        <f t="shared" si="4"/>
        <v>20</v>
      </c>
      <c r="T24" s="20">
        <v>20</v>
      </c>
      <c r="U24" s="20">
        <v>20</v>
      </c>
      <c r="V24" s="20">
        <v>35</v>
      </c>
      <c r="W24" s="20">
        <f t="shared" ref="W24:W31" si="9">AJ24-10</f>
        <v>45</v>
      </c>
      <c r="X24" s="20">
        <v>5</v>
      </c>
      <c r="Y24" s="20">
        <f t="shared" si="6"/>
        <v>20</v>
      </c>
      <c r="Z24" s="20">
        <v>20</v>
      </c>
      <c r="AA24" s="20">
        <f t="shared" si="7"/>
        <v>40</v>
      </c>
      <c r="AB24" s="20">
        <v>20</v>
      </c>
      <c r="AC24" s="20">
        <f t="shared" si="8"/>
        <v>10</v>
      </c>
      <c r="AD24" s="20">
        <v>30</v>
      </c>
      <c r="AE24" s="20">
        <v>25</v>
      </c>
      <c r="AF24" s="20">
        <v>35</v>
      </c>
      <c r="AG24" s="20">
        <v>15</v>
      </c>
      <c r="AH24" s="20">
        <v>25</v>
      </c>
      <c r="AI24" s="20">
        <v>40</v>
      </c>
      <c r="AJ24" s="20">
        <v>55</v>
      </c>
      <c r="AK24" s="20">
        <v>25</v>
      </c>
    </row>
    <row r="25" spans="1:37" hidden="1">
      <c r="A25" s="20" t="s">
        <v>144</v>
      </c>
      <c r="B25" s="20" t="s">
        <v>29</v>
      </c>
      <c r="P25" s="20">
        <v>0</v>
      </c>
      <c r="Q25" s="20">
        <f t="shared" si="3"/>
        <v>15</v>
      </c>
      <c r="R25" s="20">
        <v>30</v>
      </c>
      <c r="S25" s="20">
        <f t="shared" si="4"/>
        <v>10</v>
      </c>
      <c r="T25" s="20">
        <v>17.5</v>
      </c>
      <c r="U25" s="20">
        <v>10</v>
      </c>
      <c r="V25" s="20">
        <v>20</v>
      </c>
      <c r="W25" s="20">
        <f t="shared" si="9"/>
        <v>30</v>
      </c>
      <c r="X25" s="20">
        <v>20</v>
      </c>
      <c r="Y25" s="20">
        <f t="shared" si="6"/>
        <v>15</v>
      </c>
      <c r="Z25" s="20">
        <v>15</v>
      </c>
      <c r="AA25" s="20">
        <f t="shared" si="7"/>
        <v>35</v>
      </c>
      <c r="AB25" s="20">
        <v>15</v>
      </c>
      <c r="AC25" s="20">
        <f t="shared" si="8"/>
        <v>25</v>
      </c>
      <c r="AD25" s="20">
        <v>25</v>
      </c>
      <c r="AE25" s="20">
        <v>10</v>
      </c>
      <c r="AF25" s="20">
        <v>20</v>
      </c>
      <c r="AG25" s="20">
        <v>12.5</v>
      </c>
      <c r="AH25" s="20">
        <v>30</v>
      </c>
      <c r="AI25" s="20">
        <v>25</v>
      </c>
      <c r="AJ25" s="20">
        <v>40</v>
      </c>
      <c r="AK25" s="20">
        <v>15</v>
      </c>
    </row>
    <row r="26" spans="1:37" hidden="1">
      <c r="A26" s="20" t="s">
        <v>145</v>
      </c>
      <c r="B26" s="20" t="s">
        <v>61</v>
      </c>
      <c r="Q26" s="20">
        <v>0</v>
      </c>
      <c r="R26" s="20">
        <v>15</v>
      </c>
      <c r="S26" s="20">
        <f t="shared" si="4"/>
        <v>20</v>
      </c>
      <c r="T26" s="20">
        <v>30</v>
      </c>
      <c r="U26" s="20">
        <v>20</v>
      </c>
      <c r="V26" s="20">
        <v>30</v>
      </c>
      <c r="W26" s="20">
        <f t="shared" si="9"/>
        <v>35</v>
      </c>
      <c r="X26" s="20">
        <v>17.5</v>
      </c>
      <c r="Y26" s="20">
        <f t="shared" si="6"/>
        <v>5</v>
      </c>
      <c r="Z26" s="20">
        <v>5</v>
      </c>
      <c r="AA26" s="20">
        <f t="shared" si="7"/>
        <v>45</v>
      </c>
      <c r="AB26" s="20">
        <v>5</v>
      </c>
      <c r="AC26" s="20">
        <f t="shared" si="8"/>
        <v>22.5</v>
      </c>
      <c r="AD26" s="20">
        <v>35</v>
      </c>
      <c r="AE26" s="20">
        <v>20</v>
      </c>
      <c r="AF26" s="20">
        <v>15</v>
      </c>
      <c r="AG26" s="20">
        <v>15</v>
      </c>
      <c r="AH26" s="20">
        <v>30</v>
      </c>
      <c r="AI26" s="20">
        <v>35</v>
      </c>
      <c r="AJ26" s="20">
        <v>45</v>
      </c>
      <c r="AK26" s="20">
        <v>12.5</v>
      </c>
    </row>
    <row r="27" spans="1:37" hidden="1">
      <c r="A27" s="20" t="s">
        <v>146</v>
      </c>
      <c r="B27" s="20" t="s">
        <v>31</v>
      </c>
      <c r="R27" s="20">
        <v>0</v>
      </c>
      <c r="S27" s="20">
        <f t="shared" si="4"/>
        <v>25</v>
      </c>
      <c r="T27" s="20">
        <v>35</v>
      </c>
      <c r="U27" s="20">
        <v>25</v>
      </c>
      <c r="V27" s="20">
        <v>35</v>
      </c>
      <c r="W27" s="20">
        <f t="shared" si="9"/>
        <v>50</v>
      </c>
      <c r="X27" s="20">
        <v>25</v>
      </c>
      <c r="Y27" s="20">
        <f t="shared" si="6"/>
        <v>15</v>
      </c>
      <c r="Z27" s="20">
        <v>15</v>
      </c>
      <c r="AA27" s="20">
        <f t="shared" si="7"/>
        <v>50</v>
      </c>
      <c r="AB27" s="20">
        <v>10</v>
      </c>
      <c r="AC27" s="20">
        <f t="shared" si="8"/>
        <v>30</v>
      </c>
      <c r="AD27" s="20">
        <v>40</v>
      </c>
      <c r="AE27" s="20">
        <v>30</v>
      </c>
      <c r="AF27" s="20">
        <v>25</v>
      </c>
      <c r="AG27" s="20">
        <v>25</v>
      </c>
      <c r="AH27" s="20">
        <v>40</v>
      </c>
      <c r="AI27" s="20">
        <v>35</v>
      </c>
      <c r="AJ27" s="20">
        <v>60</v>
      </c>
      <c r="AK27" s="20">
        <v>20</v>
      </c>
    </row>
    <row r="28" spans="1:37" hidden="1">
      <c r="A28" s="20" t="s">
        <v>147</v>
      </c>
      <c r="B28" s="20" t="s">
        <v>33</v>
      </c>
      <c r="S28" s="20">
        <v>0</v>
      </c>
      <c r="T28" s="20">
        <v>10</v>
      </c>
      <c r="U28" s="20">
        <v>5</v>
      </c>
      <c r="V28" s="20">
        <v>15</v>
      </c>
      <c r="W28" s="20">
        <f t="shared" si="9"/>
        <v>35</v>
      </c>
      <c r="X28" s="20">
        <v>25</v>
      </c>
      <c r="Y28" s="20">
        <f t="shared" si="6"/>
        <v>20</v>
      </c>
      <c r="Z28" s="20">
        <v>20</v>
      </c>
      <c r="AA28" s="20">
        <f t="shared" si="7"/>
        <v>30</v>
      </c>
      <c r="AB28" s="20">
        <v>20</v>
      </c>
      <c r="AC28" s="20">
        <f t="shared" si="8"/>
        <v>30</v>
      </c>
      <c r="AD28" s="20">
        <v>20</v>
      </c>
      <c r="AE28" s="20">
        <v>15</v>
      </c>
      <c r="AF28" s="20">
        <v>30</v>
      </c>
      <c r="AG28" s="20">
        <v>15</v>
      </c>
      <c r="AH28" s="20">
        <v>25</v>
      </c>
      <c r="AI28" s="20">
        <v>25</v>
      </c>
      <c r="AJ28" s="20">
        <v>45</v>
      </c>
      <c r="AK28" s="20">
        <v>25</v>
      </c>
    </row>
    <row r="29" spans="1:37" hidden="1">
      <c r="A29" s="20" t="s">
        <v>148</v>
      </c>
      <c r="B29" s="20" t="s">
        <v>34</v>
      </c>
      <c r="T29" s="20">
        <v>0</v>
      </c>
      <c r="U29" s="20">
        <v>10</v>
      </c>
      <c r="V29" s="20">
        <v>20</v>
      </c>
      <c r="W29" s="20">
        <f t="shared" si="9"/>
        <v>40</v>
      </c>
      <c r="X29" s="20">
        <v>20</v>
      </c>
      <c r="Y29" s="20">
        <f t="shared" si="6"/>
        <v>20</v>
      </c>
      <c r="Z29" s="20">
        <v>20</v>
      </c>
      <c r="AA29" s="20">
        <f t="shared" si="7"/>
        <v>30</v>
      </c>
      <c r="AB29" s="20">
        <v>20</v>
      </c>
      <c r="AC29" s="20">
        <f t="shared" si="8"/>
        <v>25</v>
      </c>
      <c r="AD29" s="20">
        <v>20</v>
      </c>
      <c r="AE29" s="20">
        <v>15</v>
      </c>
      <c r="AF29" s="20">
        <v>30</v>
      </c>
      <c r="AG29" s="20">
        <v>15</v>
      </c>
      <c r="AH29" s="20">
        <v>15</v>
      </c>
      <c r="AI29" s="20">
        <v>30</v>
      </c>
      <c r="AJ29" s="20">
        <v>50</v>
      </c>
      <c r="AK29" s="20">
        <v>30</v>
      </c>
    </row>
    <row r="30" spans="1:37" hidden="1">
      <c r="A30" s="20" t="s">
        <v>149</v>
      </c>
      <c r="B30" s="20" t="s">
        <v>35</v>
      </c>
      <c r="U30" s="20">
        <v>0</v>
      </c>
      <c r="V30" s="20">
        <v>15</v>
      </c>
      <c r="W30" s="20">
        <f t="shared" si="9"/>
        <v>25</v>
      </c>
      <c r="X30" s="20">
        <v>25</v>
      </c>
      <c r="Y30" s="20">
        <f t="shared" si="6"/>
        <v>20</v>
      </c>
      <c r="Z30" s="20">
        <v>20</v>
      </c>
      <c r="AA30" s="20">
        <f t="shared" si="7"/>
        <v>40</v>
      </c>
      <c r="AB30" s="20">
        <v>20</v>
      </c>
      <c r="AC30" s="20">
        <f t="shared" si="8"/>
        <v>30</v>
      </c>
      <c r="AD30" s="20">
        <v>30</v>
      </c>
      <c r="AE30" s="20">
        <v>15</v>
      </c>
      <c r="AF30" s="20">
        <v>30</v>
      </c>
      <c r="AG30" s="20">
        <v>15</v>
      </c>
      <c r="AH30" s="20">
        <v>30</v>
      </c>
      <c r="AI30" s="20">
        <v>25</v>
      </c>
      <c r="AJ30" s="20">
        <v>35</v>
      </c>
      <c r="AK30" s="20">
        <v>20</v>
      </c>
    </row>
    <row r="31" spans="1:37" hidden="1">
      <c r="A31" s="20" t="s">
        <v>150</v>
      </c>
      <c r="B31" s="20" t="s">
        <v>36</v>
      </c>
      <c r="V31" s="20">
        <v>0</v>
      </c>
      <c r="W31" s="20">
        <f t="shared" si="9"/>
        <v>30</v>
      </c>
      <c r="X31" s="20">
        <v>30</v>
      </c>
      <c r="Y31" s="20">
        <f t="shared" si="6"/>
        <v>30</v>
      </c>
      <c r="Z31" s="20">
        <v>30</v>
      </c>
      <c r="AA31" s="20">
        <f t="shared" si="7"/>
        <v>40</v>
      </c>
      <c r="AB31" s="20">
        <v>30</v>
      </c>
      <c r="AC31" s="20">
        <f t="shared" si="8"/>
        <v>35</v>
      </c>
      <c r="AD31" s="20">
        <v>30</v>
      </c>
      <c r="AE31" s="20">
        <v>15</v>
      </c>
      <c r="AF31" s="20">
        <v>30</v>
      </c>
      <c r="AG31" s="20">
        <v>25</v>
      </c>
      <c r="AH31" s="20">
        <v>30</v>
      </c>
      <c r="AI31" s="20">
        <v>20</v>
      </c>
      <c r="AJ31" s="20">
        <v>40</v>
      </c>
      <c r="AK31" s="20">
        <v>30</v>
      </c>
    </row>
    <row r="32" spans="1:37" hidden="1">
      <c r="A32" s="20" t="s">
        <v>151</v>
      </c>
      <c r="B32" s="20" t="s">
        <v>37</v>
      </c>
      <c r="W32" s="20">
        <v>0</v>
      </c>
      <c r="X32" s="20">
        <v>40</v>
      </c>
      <c r="Y32" s="20">
        <f t="shared" si="6"/>
        <v>40</v>
      </c>
      <c r="Z32" s="20">
        <v>40</v>
      </c>
      <c r="AA32" s="20">
        <f t="shared" si="7"/>
        <v>55</v>
      </c>
      <c r="AB32" s="20">
        <v>40</v>
      </c>
      <c r="AC32" s="20">
        <f t="shared" si="8"/>
        <v>45</v>
      </c>
      <c r="AD32" s="20">
        <v>45</v>
      </c>
      <c r="AE32" s="20">
        <v>30</v>
      </c>
      <c r="AF32" s="20">
        <v>40</v>
      </c>
      <c r="AG32" s="20">
        <v>40</v>
      </c>
      <c r="AH32" s="20">
        <v>40</v>
      </c>
      <c r="AI32" s="20">
        <v>15</v>
      </c>
      <c r="AJ32" s="20">
        <v>20</v>
      </c>
      <c r="AK32" s="20">
        <v>40</v>
      </c>
    </row>
    <row r="33" spans="1:37" hidden="1">
      <c r="A33" s="20" t="s">
        <v>152</v>
      </c>
      <c r="B33" s="20" t="s">
        <v>38</v>
      </c>
      <c r="X33" s="20">
        <v>0</v>
      </c>
      <c r="Y33" s="20">
        <f t="shared" si="6"/>
        <v>20</v>
      </c>
      <c r="Z33" s="20">
        <v>20</v>
      </c>
      <c r="AA33" s="20">
        <f t="shared" si="7"/>
        <v>40</v>
      </c>
      <c r="AB33" s="20">
        <v>20</v>
      </c>
      <c r="AC33" s="20">
        <v>15</v>
      </c>
      <c r="AD33" s="20">
        <v>30</v>
      </c>
      <c r="AE33" s="20">
        <v>15</v>
      </c>
      <c r="AF33" s="20">
        <v>35</v>
      </c>
      <c r="AG33" s="20">
        <v>15</v>
      </c>
      <c r="AH33" s="20">
        <v>17.5</v>
      </c>
      <c r="AI33" s="20">
        <v>35</v>
      </c>
      <c r="AJ33" s="20">
        <v>65</v>
      </c>
      <c r="AK33" s="20">
        <v>25</v>
      </c>
    </row>
    <row r="34" spans="1:37" hidden="1">
      <c r="A34" s="20" t="s">
        <v>153</v>
      </c>
      <c r="B34" s="20" t="s">
        <v>39</v>
      </c>
      <c r="Y34" s="20">
        <v>0</v>
      </c>
      <c r="Z34" s="20">
        <v>5</v>
      </c>
      <c r="AA34" s="20">
        <f t="shared" si="7"/>
        <v>45</v>
      </c>
      <c r="AB34" s="20">
        <v>5</v>
      </c>
      <c r="AC34" s="20">
        <v>25</v>
      </c>
      <c r="AD34" s="20">
        <v>35</v>
      </c>
      <c r="AE34" s="20">
        <v>17.5</v>
      </c>
      <c r="AF34" s="20">
        <v>17.5</v>
      </c>
      <c r="AG34" s="20">
        <v>10</v>
      </c>
      <c r="AH34" s="20">
        <v>30</v>
      </c>
      <c r="AI34" s="20">
        <v>30</v>
      </c>
      <c r="AJ34" s="20">
        <v>50</v>
      </c>
      <c r="AK34" s="20">
        <v>15</v>
      </c>
    </row>
    <row r="35" spans="1:37" hidden="1">
      <c r="A35" s="20" t="s">
        <v>154</v>
      </c>
      <c r="B35" s="20" t="s">
        <v>52</v>
      </c>
      <c r="Z35" s="20">
        <v>0</v>
      </c>
      <c r="AA35" s="20">
        <f t="shared" si="7"/>
        <v>45</v>
      </c>
      <c r="AB35" s="20">
        <v>5</v>
      </c>
      <c r="AC35" s="20">
        <v>25</v>
      </c>
      <c r="AD35" s="20">
        <v>35</v>
      </c>
      <c r="AE35" s="20">
        <v>25</v>
      </c>
      <c r="AF35" s="20">
        <v>15</v>
      </c>
      <c r="AG35" s="20">
        <v>15</v>
      </c>
      <c r="AH35" s="20">
        <v>30</v>
      </c>
      <c r="AI35" s="20">
        <v>35</v>
      </c>
      <c r="AJ35" s="20">
        <v>50</v>
      </c>
      <c r="AK35" s="20">
        <v>15</v>
      </c>
    </row>
    <row r="36" spans="1:37" hidden="1">
      <c r="A36" s="20" t="s">
        <v>155</v>
      </c>
      <c r="B36" s="20" t="s">
        <v>40</v>
      </c>
      <c r="AA36" s="20">
        <v>0</v>
      </c>
      <c r="AB36" s="20">
        <v>40</v>
      </c>
      <c r="AC36" s="20">
        <v>50</v>
      </c>
      <c r="AD36" s="20">
        <v>10</v>
      </c>
      <c r="AE36" s="20">
        <v>35</v>
      </c>
      <c r="AF36" s="20">
        <v>50</v>
      </c>
      <c r="AG36" s="20">
        <v>30</v>
      </c>
      <c r="AH36" s="20">
        <v>35</v>
      </c>
      <c r="AI36" s="20">
        <v>50</v>
      </c>
      <c r="AJ36" s="20">
        <v>75</v>
      </c>
      <c r="AK36" s="20">
        <v>45</v>
      </c>
    </row>
    <row r="37" spans="1:37" hidden="1">
      <c r="A37" s="20" t="s">
        <v>156</v>
      </c>
      <c r="B37" s="20" t="s">
        <v>41</v>
      </c>
      <c r="AB37" s="20">
        <v>0</v>
      </c>
      <c r="AC37" s="20">
        <v>25</v>
      </c>
      <c r="AD37" s="20">
        <v>45</v>
      </c>
      <c r="AE37" s="20">
        <v>20</v>
      </c>
      <c r="AF37" s="20">
        <v>15</v>
      </c>
      <c r="AG37" s="20">
        <v>25</v>
      </c>
      <c r="AH37" s="20">
        <v>40</v>
      </c>
      <c r="AI37" s="20">
        <v>30</v>
      </c>
      <c r="AJ37" s="20">
        <v>55</v>
      </c>
      <c r="AK37" s="20">
        <v>15</v>
      </c>
    </row>
    <row r="38" spans="1:37" hidden="1">
      <c r="A38" s="20" t="s">
        <v>157</v>
      </c>
      <c r="B38" s="20" t="s">
        <v>53</v>
      </c>
      <c r="AC38" s="20">
        <v>0</v>
      </c>
      <c r="AD38" s="20">
        <v>40</v>
      </c>
      <c r="AE38" s="20">
        <v>25</v>
      </c>
      <c r="AF38" s="20">
        <v>30</v>
      </c>
      <c r="AG38" s="20">
        <v>15</v>
      </c>
      <c r="AH38" s="20">
        <v>30</v>
      </c>
      <c r="AI38" s="20">
        <v>40</v>
      </c>
      <c r="AJ38" s="20">
        <v>60</v>
      </c>
      <c r="AK38" s="20">
        <v>30</v>
      </c>
    </row>
    <row r="39" spans="1:37" hidden="1">
      <c r="A39" s="20" t="s">
        <v>158</v>
      </c>
      <c r="B39" s="20" t="s">
        <v>42</v>
      </c>
      <c r="AD39" s="20">
        <v>0</v>
      </c>
      <c r="AE39" s="20">
        <v>25</v>
      </c>
      <c r="AF39" s="20">
        <v>40</v>
      </c>
      <c r="AG39" s="20">
        <v>30</v>
      </c>
      <c r="AH39" s="20">
        <v>20</v>
      </c>
      <c r="AI39" s="20">
        <v>40</v>
      </c>
      <c r="AJ39" s="20">
        <v>60</v>
      </c>
      <c r="AK39" s="20">
        <v>35</v>
      </c>
    </row>
    <row r="40" spans="1:37" hidden="1">
      <c r="A40" s="20" t="s">
        <v>159</v>
      </c>
      <c r="B40" s="20" t="s">
        <v>43</v>
      </c>
      <c r="AE40" s="20">
        <v>0</v>
      </c>
      <c r="AF40" s="20">
        <v>25</v>
      </c>
      <c r="AG40" s="20">
        <v>15</v>
      </c>
      <c r="AH40" s="20">
        <v>25</v>
      </c>
      <c r="AI40" s="20">
        <v>17.5</v>
      </c>
      <c r="AJ40" s="20">
        <v>40</v>
      </c>
      <c r="AK40" s="20">
        <v>17.5</v>
      </c>
    </row>
    <row r="41" spans="1:37" hidden="1">
      <c r="A41" s="20" t="s">
        <v>160</v>
      </c>
      <c r="B41" s="20" t="s">
        <v>44</v>
      </c>
      <c r="AF41" s="20">
        <v>0</v>
      </c>
      <c r="AG41" s="20">
        <v>25</v>
      </c>
      <c r="AH41" s="20">
        <v>45</v>
      </c>
      <c r="AI41" s="20">
        <v>30</v>
      </c>
      <c r="AJ41" s="20">
        <v>50</v>
      </c>
      <c r="AK41" s="20">
        <v>20</v>
      </c>
    </row>
    <row r="42" spans="1:37" hidden="1">
      <c r="A42" s="20" t="s">
        <v>161</v>
      </c>
      <c r="B42" s="20" t="s">
        <v>46</v>
      </c>
      <c r="AG42" s="20">
        <v>0</v>
      </c>
      <c r="AH42" s="20">
        <v>20</v>
      </c>
      <c r="AI42" s="20">
        <v>30</v>
      </c>
      <c r="AJ42" s="20">
        <v>50</v>
      </c>
      <c r="AK42" s="20">
        <v>15</v>
      </c>
    </row>
    <row r="43" spans="1:37" hidden="1">
      <c r="A43" s="20" t="s">
        <v>162</v>
      </c>
      <c r="B43" s="20" t="s">
        <v>47</v>
      </c>
      <c r="AH43" s="20">
        <v>0</v>
      </c>
      <c r="AI43" s="20">
        <v>25</v>
      </c>
      <c r="AJ43" s="20">
        <v>55</v>
      </c>
      <c r="AK43" s="20">
        <v>40</v>
      </c>
    </row>
    <row r="44" spans="1:37" hidden="1">
      <c r="A44" s="20" t="s">
        <v>163</v>
      </c>
      <c r="B44" s="20" t="s">
        <v>62</v>
      </c>
      <c r="AI44" s="20">
        <v>0</v>
      </c>
      <c r="AJ44" s="20">
        <v>30</v>
      </c>
      <c r="AK44" s="20">
        <v>30</v>
      </c>
    </row>
    <row r="45" spans="1:37" hidden="1">
      <c r="A45" s="20" t="s">
        <v>164</v>
      </c>
      <c r="B45" s="20" t="s">
        <v>48</v>
      </c>
      <c r="AJ45" s="20">
        <v>0</v>
      </c>
      <c r="AK45" s="20">
        <v>55</v>
      </c>
    </row>
    <row r="46" spans="1:37" hidden="1">
      <c r="A46" s="20" t="s">
        <v>165</v>
      </c>
      <c r="B46" s="20" t="s">
        <v>49</v>
      </c>
      <c r="AK46" s="20">
        <v>0</v>
      </c>
    </row>
    <row r="47" spans="1:37" hidden="1"/>
    <row r="48" spans="1:37" hidden="1">
      <c r="A48" s="20" t="s">
        <v>166</v>
      </c>
    </row>
    <row r="49" spans="1:37" hidden="1"/>
    <row r="50" spans="1:37" hidden="1">
      <c r="C50" s="20" t="s">
        <v>11</v>
      </c>
      <c r="D50" s="20" t="s">
        <v>13</v>
      </c>
      <c r="E50" s="20" t="s">
        <v>14</v>
      </c>
      <c r="F50" s="20" t="s">
        <v>17</v>
      </c>
      <c r="G50" s="20" t="s">
        <v>18</v>
      </c>
      <c r="H50" s="20" t="s">
        <v>19</v>
      </c>
      <c r="I50" s="20" t="s">
        <v>20</v>
      </c>
      <c r="J50" s="20" t="s">
        <v>21</v>
      </c>
      <c r="K50" s="20" t="s">
        <v>22</v>
      </c>
      <c r="L50" s="20" t="s">
        <v>23</v>
      </c>
      <c r="M50" s="20" t="s">
        <v>25</v>
      </c>
      <c r="N50" s="20" t="s">
        <v>27</v>
      </c>
      <c r="O50" s="20" t="s">
        <v>28</v>
      </c>
      <c r="P50" s="20" t="s">
        <v>29</v>
      </c>
      <c r="Q50" s="20" t="s">
        <v>61</v>
      </c>
      <c r="R50" s="20" t="s">
        <v>31</v>
      </c>
      <c r="S50" s="20" t="s">
        <v>33</v>
      </c>
      <c r="T50" s="20" t="s">
        <v>34</v>
      </c>
      <c r="U50" s="20" t="s">
        <v>35</v>
      </c>
      <c r="V50" s="20" t="s">
        <v>36</v>
      </c>
      <c r="W50" s="20" t="s">
        <v>37</v>
      </c>
      <c r="X50" s="20" t="s">
        <v>38</v>
      </c>
      <c r="Y50" s="20" t="s">
        <v>39</v>
      </c>
      <c r="Z50" s="20" t="s">
        <v>52</v>
      </c>
      <c r="AA50" s="20" t="s">
        <v>40</v>
      </c>
      <c r="AB50" s="20" t="s">
        <v>41</v>
      </c>
      <c r="AC50" s="20" t="s">
        <v>53</v>
      </c>
      <c r="AD50" s="20" t="s">
        <v>42</v>
      </c>
      <c r="AE50" s="20" t="s">
        <v>43</v>
      </c>
      <c r="AF50" s="20" t="s">
        <v>44</v>
      </c>
      <c r="AG50" s="20" t="s">
        <v>46</v>
      </c>
      <c r="AH50" s="20" t="s">
        <v>47</v>
      </c>
      <c r="AI50" s="20" t="s">
        <v>62</v>
      </c>
      <c r="AJ50" s="20" t="s">
        <v>48</v>
      </c>
      <c r="AK50" s="20" t="s">
        <v>49</v>
      </c>
    </row>
    <row r="51" spans="1:37" hidden="1">
      <c r="A51" s="20" t="s">
        <v>168</v>
      </c>
      <c r="B51" s="20" t="s">
        <v>11</v>
      </c>
      <c r="C51" s="20">
        <v>0</v>
      </c>
    </row>
    <row r="52" spans="1:37" hidden="1">
      <c r="A52" s="20" t="s">
        <v>132</v>
      </c>
      <c r="B52" s="20" t="s">
        <v>13</v>
      </c>
      <c r="C52" s="20">
        <v>30</v>
      </c>
      <c r="D52" s="20">
        <v>0</v>
      </c>
    </row>
    <row r="53" spans="1:37" hidden="1">
      <c r="A53" s="20" t="s">
        <v>133</v>
      </c>
      <c r="B53" s="20" t="s">
        <v>14</v>
      </c>
      <c r="C53" s="20">
        <v>15</v>
      </c>
      <c r="D53" s="20">
        <v>25</v>
      </c>
      <c r="E53" s="20">
        <v>0</v>
      </c>
    </row>
    <row r="54" spans="1:37" hidden="1">
      <c r="A54" s="20" t="s">
        <v>134</v>
      </c>
      <c r="B54" s="20" t="s">
        <v>17</v>
      </c>
      <c r="C54" s="20">
        <v>50</v>
      </c>
      <c r="D54" s="20">
        <v>45</v>
      </c>
      <c r="E54" s="20">
        <v>45</v>
      </c>
      <c r="F54" s="20">
        <v>0</v>
      </c>
    </row>
    <row r="55" spans="1:37" hidden="1">
      <c r="A55" s="20" t="s">
        <v>135</v>
      </c>
      <c r="B55" s="20" t="s">
        <v>18</v>
      </c>
      <c r="C55" s="20">
        <v>30</v>
      </c>
      <c r="D55" s="20">
        <v>30</v>
      </c>
      <c r="E55" s="20">
        <v>15</v>
      </c>
      <c r="F55" s="20">
        <v>45</v>
      </c>
      <c r="G55" s="20">
        <v>0</v>
      </c>
    </row>
    <row r="56" spans="1:37" hidden="1">
      <c r="A56" s="20" t="s">
        <v>136</v>
      </c>
      <c r="B56" s="20" t="s">
        <v>19</v>
      </c>
      <c r="C56" s="20">
        <v>5</v>
      </c>
      <c r="D56" s="20">
        <v>15</v>
      </c>
      <c r="E56" s="20">
        <v>10</v>
      </c>
      <c r="F56" s="20">
        <v>40</v>
      </c>
      <c r="G56" s="20">
        <v>30</v>
      </c>
      <c r="H56" s="20">
        <v>0</v>
      </c>
    </row>
    <row r="57" spans="1:37" hidden="1">
      <c r="A57" s="20" t="s">
        <v>137</v>
      </c>
      <c r="B57" s="20" t="s">
        <v>20</v>
      </c>
      <c r="C57" s="20">
        <v>25</v>
      </c>
      <c r="D57" s="20">
        <v>10</v>
      </c>
      <c r="E57" s="20">
        <v>15</v>
      </c>
      <c r="F57" s="20">
        <v>35</v>
      </c>
      <c r="G57" s="20">
        <v>20</v>
      </c>
      <c r="H57" s="20">
        <v>20</v>
      </c>
      <c r="I57" s="20">
        <v>0</v>
      </c>
    </row>
    <row r="58" spans="1:37" hidden="1">
      <c r="A58" s="20" t="s">
        <v>138</v>
      </c>
      <c r="B58" s="20" t="s">
        <v>21</v>
      </c>
      <c r="C58" s="20">
        <v>30</v>
      </c>
      <c r="D58" s="20">
        <v>10</v>
      </c>
      <c r="E58" s="20">
        <v>20</v>
      </c>
      <c r="F58" s="20">
        <v>30</v>
      </c>
      <c r="G58" s="20">
        <v>30</v>
      </c>
      <c r="H58" s="20">
        <v>25</v>
      </c>
      <c r="I58" s="20">
        <v>15</v>
      </c>
      <c r="J58" s="20">
        <v>0</v>
      </c>
    </row>
    <row r="59" spans="1:37" hidden="1">
      <c r="A59" s="20" t="s">
        <v>139</v>
      </c>
      <c r="B59" s="20" t="s">
        <v>22</v>
      </c>
      <c r="C59" s="20">
        <v>30</v>
      </c>
      <c r="D59" s="20">
        <v>20</v>
      </c>
      <c r="E59" s="20">
        <v>25</v>
      </c>
      <c r="F59" s="20">
        <v>40</v>
      </c>
      <c r="G59" s="20">
        <v>15</v>
      </c>
      <c r="H59" s="20">
        <v>25</v>
      </c>
      <c r="I59" s="20">
        <v>15</v>
      </c>
      <c r="J59" s="20">
        <v>20</v>
      </c>
      <c r="K59" s="20">
        <v>0</v>
      </c>
    </row>
    <row r="60" spans="1:37" hidden="1">
      <c r="A60" s="20" t="s">
        <v>140</v>
      </c>
      <c r="B60" s="20" t="s">
        <v>23</v>
      </c>
      <c r="C60" s="20">
        <v>20</v>
      </c>
      <c r="D60" s="20">
        <v>15</v>
      </c>
      <c r="E60" s="20">
        <v>15</v>
      </c>
      <c r="F60" s="20">
        <v>40</v>
      </c>
      <c r="G60" s="20">
        <v>20</v>
      </c>
      <c r="H60" s="20">
        <v>20</v>
      </c>
      <c r="I60" s="20">
        <v>10</v>
      </c>
      <c r="J60" s="20">
        <v>20</v>
      </c>
      <c r="K60" s="20">
        <v>15</v>
      </c>
      <c r="L60" s="20">
        <v>0</v>
      </c>
    </row>
    <row r="61" spans="1:37" hidden="1">
      <c r="A61" s="20" t="s">
        <v>141</v>
      </c>
      <c r="B61" s="20" t="s">
        <v>25</v>
      </c>
      <c r="C61" s="20">
        <v>40</v>
      </c>
      <c r="D61" s="20">
        <v>40</v>
      </c>
      <c r="E61" s="20">
        <v>40</v>
      </c>
      <c r="F61" s="20">
        <v>15</v>
      </c>
      <c r="G61" s="20">
        <v>50</v>
      </c>
      <c r="H61" s="20">
        <v>40</v>
      </c>
      <c r="I61" s="20">
        <v>40</v>
      </c>
      <c r="J61" s="20">
        <v>25</v>
      </c>
      <c r="K61" s="20">
        <v>30</v>
      </c>
      <c r="L61" s="20">
        <v>40</v>
      </c>
      <c r="M61" s="20">
        <v>0</v>
      </c>
    </row>
    <row r="62" spans="1:37" hidden="1">
      <c r="A62" s="20" t="s">
        <v>142</v>
      </c>
      <c r="B62" s="20" t="s">
        <v>27</v>
      </c>
      <c r="C62" s="20">
        <v>75</v>
      </c>
      <c r="D62" s="20">
        <v>65</v>
      </c>
      <c r="E62" s="20">
        <f t="shared" ref="E62:M62" si="10">E84+10</f>
        <v>75</v>
      </c>
      <c r="F62" s="20">
        <f t="shared" si="10"/>
        <v>55</v>
      </c>
      <c r="G62" s="20">
        <f t="shared" si="10"/>
        <v>80</v>
      </c>
      <c r="H62" s="20">
        <f t="shared" si="10"/>
        <v>55</v>
      </c>
      <c r="I62" s="20">
        <f t="shared" si="10"/>
        <v>55</v>
      </c>
      <c r="J62" s="20">
        <f t="shared" si="10"/>
        <v>45</v>
      </c>
      <c r="K62" s="20">
        <f t="shared" si="10"/>
        <v>75</v>
      </c>
      <c r="L62" s="20">
        <f t="shared" si="10"/>
        <v>55</v>
      </c>
      <c r="M62" s="20">
        <f t="shared" si="10"/>
        <v>30</v>
      </c>
      <c r="N62" s="20">
        <v>0</v>
      </c>
    </row>
    <row r="63" spans="1:37" hidden="1">
      <c r="A63" s="20" t="s">
        <v>143</v>
      </c>
      <c r="B63" s="20" t="s">
        <v>28</v>
      </c>
      <c r="C63" s="20">
        <v>30</v>
      </c>
      <c r="D63" s="20">
        <v>25</v>
      </c>
      <c r="E63" s="20">
        <f t="shared" ref="E63:J63" si="11">E59</f>
        <v>25</v>
      </c>
      <c r="F63" s="20">
        <f t="shared" si="11"/>
        <v>40</v>
      </c>
      <c r="G63" s="20">
        <f t="shared" si="11"/>
        <v>15</v>
      </c>
      <c r="H63" s="20">
        <f t="shared" si="11"/>
        <v>25</v>
      </c>
      <c r="I63" s="20">
        <f t="shared" si="11"/>
        <v>15</v>
      </c>
      <c r="J63" s="20">
        <f t="shared" si="11"/>
        <v>20</v>
      </c>
      <c r="K63" s="20">
        <v>5</v>
      </c>
      <c r="L63" s="20">
        <v>15</v>
      </c>
      <c r="M63" s="20">
        <v>45</v>
      </c>
      <c r="N63" s="20">
        <v>60</v>
      </c>
      <c r="O63" s="20">
        <v>0</v>
      </c>
    </row>
    <row r="64" spans="1:37" hidden="1">
      <c r="A64" s="20" t="s">
        <v>144</v>
      </c>
      <c r="B64" s="20" t="s">
        <v>29</v>
      </c>
      <c r="C64" s="20">
        <v>25</v>
      </c>
      <c r="D64" s="20">
        <v>5</v>
      </c>
      <c r="E64" s="20">
        <f t="shared" ref="E64:O64" si="12">E79</f>
        <v>25</v>
      </c>
      <c r="F64" s="20">
        <f t="shared" si="12"/>
        <v>40</v>
      </c>
      <c r="G64" s="20">
        <f t="shared" si="12"/>
        <v>35</v>
      </c>
      <c r="H64" s="20">
        <f t="shared" si="12"/>
        <v>30</v>
      </c>
      <c r="I64" s="20">
        <f t="shared" si="12"/>
        <v>17.5</v>
      </c>
      <c r="J64" s="20">
        <f t="shared" si="12"/>
        <v>5</v>
      </c>
      <c r="K64" s="20">
        <f t="shared" si="12"/>
        <v>20</v>
      </c>
      <c r="L64" s="20">
        <f t="shared" si="12"/>
        <v>15</v>
      </c>
      <c r="M64" s="20">
        <f t="shared" si="12"/>
        <v>25</v>
      </c>
      <c r="N64" s="20">
        <f t="shared" si="12"/>
        <v>45</v>
      </c>
      <c r="O64" s="20">
        <f t="shared" si="12"/>
        <v>25</v>
      </c>
      <c r="P64" s="20">
        <v>0</v>
      </c>
    </row>
    <row r="65" spans="1:32" hidden="1">
      <c r="A65" s="20" t="s">
        <v>145</v>
      </c>
      <c r="B65" s="20" t="s">
        <v>61</v>
      </c>
      <c r="C65" s="20">
        <v>20</v>
      </c>
      <c r="D65" s="20">
        <v>20</v>
      </c>
      <c r="E65" s="20">
        <f t="shared" ref="E65:P65" si="13">E74</f>
        <v>15</v>
      </c>
      <c r="F65" s="20">
        <f t="shared" si="13"/>
        <v>40</v>
      </c>
      <c r="G65" s="20">
        <f t="shared" si="13"/>
        <v>10</v>
      </c>
      <c r="H65" s="20">
        <f t="shared" si="13"/>
        <v>20</v>
      </c>
      <c r="I65" s="20">
        <f t="shared" si="13"/>
        <v>10</v>
      </c>
      <c r="J65" s="20">
        <f t="shared" si="13"/>
        <v>17.5</v>
      </c>
      <c r="K65" s="20">
        <f t="shared" si="13"/>
        <v>15</v>
      </c>
      <c r="L65" s="20">
        <f t="shared" si="13"/>
        <v>12.5</v>
      </c>
      <c r="M65" s="20">
        <f t="shared" si="13"/>
        <v>45</v>
      </c>
      <c r="N65" s="20">
        <f t="shared" si="13"/>
        <v>50</v>
      </c>
      <c r="O65" s="20">
        <f t="shared" si="13"/>
        <v>20</v>
      </c>
      <c r="P65" s="20">
        <f t="shared" si="13"/>
        <v>15</v>
      </c>
      <c r="Q65" s="20">
        <v>0</v>
      </c>
    </row>
    <row r="66" spans="1:32" hidden="1">
      <c r="A66" s="20" t="s">
        <v>146</v>
      </c>
      <c r="B66" s="20" t="s">
        <v>31</v>
      </c>
      <c r="C66" s="20">
        <v>30</v>
      </c>
      <c r="D66" s="20">
        <v>25</v>
      </c>
      <c r="E66" s="20">
        <v>15</v>
      </c>
      <c r="F66" s="20">
        <v>50</v>
      </c>
      <c r="G66" s="20">
        <v>15</v>
      </c>
      <c r="H66" s="20">
        <v>25</v>
      </c>
      <c r="I66" s="20">
        <v>25</v>
      </c>
      <c r="J66" s="20">
        <v>25</v>
      </c>
      <c r="K66" s="20">
        <v>25</v>
      </c>
      <c r="L66" s="20">
        <v>25</v>
      </c>
      <c r="M66" s="20">
        <v>50</v>
      </c>
      <c r="N66" s="20">
        <v>70</v>
      </c>
      <c r="O66" s="20">
        <v>35</v>
      </c>
      <c r="P66" s="20">
        <v>30</v>
      </c>
      <c r="Q66" s="20">
        <v>15</v>
      </c>
      <c r="R66" s="20">
        <v>0</v>
      </c>
    </row>
    <row r="67" spans="1:32" hidden="1">
      <c r="A67" s="20" t="s">
        <v>147</v>
      </c>
      <c r="B67" s="20" t="s">
        <v>33</v>
      </c>
      <c r="C67" s="20">
        <v>30</v>
      </c>
      <c r="D67" s="20">
        <v>20</v>
      </c>
      <c r="E67" s="20">
        <f t="shared" ref="E67:R67" si="14">E69</f>
        <v>25</v>
      </c>
      <c r="F67" s="20">
        <f t="shared" si="14"/>
        <v>20</v>
      </c>
      <c r="G67" s="20">
        <f t="shared" si="14"/>
        <v>30</v>
      </c>
      <c r="H67" s="20">
        <f t="shared" si="14"/>
        <v>25</v>
      </c>
      <c r="I67" s="20">
        <f t="shared" si="14"/>
        <v>15</v>
      </c>
      <c r="J67" s="20">
        <f t="shared" si="14"/>
        <v>12.5</v>
      </c>
      <c r="K67" s="20">
        <f t="shared" si="14"/>
        <v>20</v>
      </c>
      <c r="L67" s="20">
        <f t="shared" si="14"/>
        <v>20</v>
      </c>
      <c r="M67" s="20">
        <f t="shared" si="14"/>
        <v>35</v>
      </c>
      <c r="N67" s="20">
        <f t="shared" si="14"/>
        <v>45</v>
      </c>
      <c r="O67" s="20">
        <f t="shared" si="14"/>
        <v>20</v>
      </c>
      <c r="P67" s="20">
        <f t="shared" si="14"/>
        <v>10</v>
      </c>
      <c r="Q67" s="20">
        <f t="shared" si="14"/>
        <v>20</v>
      </c>
      <c r="R67" s="20">
        <f t="shared" si="14"/>
        <v>25</v>
      </c>
      <c r="S67" s="20">
        <v>0</v>
      </c>
    </row>
    <row r="68" spans="1:32" hidden="1">
      <c r="A68" s="20" t="s">
        <v>148</v>
      </c>
      <c r="B68" s="20" t="s">
        <v>34</v>
      </c>
      <c r="C68" s="20">
        <v>35</v>
      </c>
      <c r="D68" s="20">
        <v>25</v>
      </c>
      <c r="E68" s="20">
        <v>30</v>
      </c>
      <c r="F68" s="20">
        <v>30</v>
      </c>
      <c r="G68" s="20">
        <v>30</v>
      </c>
      <c r="H68" s="20">
        <v>30</v>
      </c>
      <c r="I68" s="20">
        <v>20</v>
      </c>
      <c r="J68" s="20">
        <v>17.5</v>
      </c>
      <c r="K68" s="20">
        <v>20</v>
      </c>
      <c r="L68" s="20">
        <v>25</v>
      </c>
      <c r="M68" s="20">
        <v>40</v>
      </c>
      <c r="N68" s="20">
        <v>50</v>
      </c>
      <c r="O68" s="20">
        <v>20</v>
      </c>
      <c r="P68" s="20">
        <v>17.5</v>
      </c>
      <c r="Q68" s="20">
        <v>30</v>
      </c>
      <c r="R68" s="20">
        <v>35</v>
      </c>
      <c r="S68" s="20">
        <v>10</v>
      </c>
      <c r="T68" s="20">
        <v>0</v>
      </c>
    </row>
    <row r="69" spans="1:32" hidden="1">
      <c r="A69" s="20" t="s">
        <v>149</v>
      </c>
      <c r="B69" s="20" t="s">
        <v>35</v>
      </c>
      <c r="C69" s="20">
        <v>30</v>
      </c>
      <c r="D69" s="20">
        <v>20</v>
      </c>
      <c r="E69" s="20">
        <v>25</v>
      </c>
      <c r="F69" s="20">
        <v>20</v>
      </c>
      <c r="G69" s="20">
        <v>30</v>
      </c>
      <c r="H69" s="20">
        <v>25</v>
      </c>
      <c r="I69" s="20">
        <v>15</v>
      </c>
      <c r="J69" s="20">
        <v>12.5</v>
      </c>
      <c r="K69" s="20">
        <v>20</v>
      </c>
      <c r="L69" s="20">
        <v>20</v>
      </c>
      <c r="M69" s="20">
        <v>35</v>
      </c>
      <c r="N69" s="20">
        <v>45</v>
      </c>
      <c r="O69" s="20">
        <v>20</v>
      </c>
      <c r="P69" s="20">
        <v>10</v>
      </c>
      <c r="Q69" s="20">
        <v>20</v>
      </c>
      <c r="R69" s="20">
        <v>25</v>
      </c>
      <c r="S69" s="20">
        <v>5</v>
      </c>
      <c r="T69" s="20">
        <v>10</v>
      </c>
      <c r="U69" s="20">
        <v>0</v>
      </c>
    </row>
    <row r="70" spans="1:32" hidden="1">
      <c r="A70" s="20" t="s">
        <v>150</v>
      </c>
      <c r="B70" s="20" t="s">
        <v>36</v>
      </c>
      <c r="C70" s="20">
        <v>30</v>
      </c>
      <c r="D70" s="20">
        <v>20</v>
      </c>
      <c r="E70" s="20">
        <v>35</v>
      </c>
      <c r="F70" s="20">
        <v>45</v>
      </c>
      <c r="G70" s="20">
        <v>40</v>
      </c>
      <c r="H70" s="20">
        <v>35</v>
      </c>
      <c r="I70" s="20">
        <v>25</v>
      </c>
      <c r="J70" s="20">
        <v>15</v>
      </c>
      <c r="K70" s="20">
        <v>30</v>
      </c>
      <c r="L70" s="20">
        <v>30</v>
      </c>
      <c r="M70" s="20">
        <v>40</v>
      </c>
      <c r="N70" s="20">
        <v>45</v>
      </c>
      <c r="O70" s="20">
        <v>35</v>
      </c>
      <c r="P70" s="20">
        <v>20</v>
      </c>
      <c r="Q70" s="20">
        <v>30</v>
      </c>
      <c r="R70" s="20">
        <v>35</v>
      </c>
      <c r="S70" s="20">
        <v>15</v>
      </c>
      <c r="T70" s="20">
        <v>20</v>
      </c>
      <c r="U70" s="20">
        <v>15</v>
      </c>
      <c r="V70" s="20">
        <v>0</v>
      </c>
    </row>
    <row r="71" spans="1:32" hidden="1">
      <c r="A71" s="20" t="s">
        <v>151</v>
      </c>
      <c r="B71" s="20" t="s">
        <v>37</v>
      </c>
      <c r="C71" s="20">
        <v>50</v>
      </c>
      <c r="D71" s="20">
        <v>40</v>
      </c>
      <c r="E71" s="20">
        <f t="shared" ref="E71:L71" si="15">E84-10</f>
        <v>55</v>
      </c>
      <c r="F71" s="20">
        <f t="shared" si="15"/>
        <v>35</v>
      </c>
      <c r="G71" s="20">
        <f t="shared" si="15"/>
        <v>60</v>
      </c>
      <c r="H71" s="20">
        <f t="shared" si="15"/>
        <v>35</v>
      </c>
      <c r="I71" s="20">
        <f t="shared" si="15"/>
        <v>35</v>
      </c>
      <c r="J71" s="20">
        <f t="shared" si="15"/>
        <v>25</v>
      </c>
      <c r="K71" s="20">
        <f t="shared" si="15"/>
        <v>55</v>
      </c>
      <c r="L71" s="20">
        <f t="shared" si="15"/>
        <v>35</v>
      </c>
      <c r="M71" s="20">
        <v>15</v>
      </c>
      <c r="N71" s="20">
        <v>10</v>
      </c>
      <c r="O71" s="20">
        <f t="shared" ref="O71:V71" si="16">O84-10</f>
        <v>45</v>
      </c>
      <c r="P71" s="20">
        <f t="shared" si="16"/>
        <v>30</v>
      </c>
      <c r="Q71" s="20">
        <f t="shared" si="16"/>
        <v>35</v>
      </c>
      <c r="R71" s="20">
        <f t="shared" si="16"/>
        <v>50</v>
      </c>
      <c r="S71" s="20">
        <f t="shared" si="16"/>
        <v>35</v>
      </c>
      <c r="T71" s="20">
        <f t="shared" si="16"/>
        <v>40</v>
      </c>
      <c r="U71" s="20">
        <f t="shared" si="16"/>
        <v>25</v>
      </c>
      <c r="V71" s="20">
        <f t="shared" si="16"/>
        <v>30</v>
      </c>
      <c r="W71" s="20">
        <v>0</v>
      </c>
    </row>
    <row r="72" spans="1:32" hidden="1">
      <c r="A72" s="20" t="s">
        <v>152</v>
      </c>
      <c r="B72" s="20" t="s">
        <v>38</v>
      </c>
      <c r="C72" s="20">
        <v>30</v>
      </c>
      <c r="D72" s="20">
        <v>25</v>
      </c>
      <c r="E72" s="20">
        <f>E63</f>
        <v>25</v>
      </c>
      <c r="F72" s="20">
        <f>F63</f>
        <v>40</v>
      </c>
      <c r="G72" s="20">
        <f>G63</f>
        <v>15</v>
      </c>
      <c r="H72" s="20">
        <f>H63</f>
        <v>25</v>
      </c>
      <c r="I72" s="20">
        <v>10</v>
      </c>
      <c r="J72" s="20">
        <f>J63</f>
        <v>20</v>
      </c>
      <c r="K72" s="20">
        <f>K63</f>
        <v>5</v>
      </c>
      <c r="L72" s="20">
        <f>L63</f>
        <v>15</v>
      </c>
      <c r="M72" s="20">
        <f>M63</f>
        <v>45</v>
      </c>
      <c r="N72" s="20">
        <f>N63</f>
        <v>60</v>
      </c>
      <c r="O72" s="20">
        <v>5</v>
      </c>
      <c r="P72" s="20">
        <v>20</v>
      </c>
      <c r="Q72" s="20">
        <v>17.5</v>
      </c>
      <c r="R72" s="20">
        <v>25</v>
      </c>
      <c r="S72" s="20">
        <v>25</v>
      </c>
      <c r="T72" s="20">
        <v>20</v>
      </c>
      <c r="U72" s="20">
        <v>25</v>
      </c>
      <c r="V72" s="20">
        <v>30</v>
      </c>
      <c r="W72" s="20">
        <v>40</v>
      </c>
      <c r="X72" s="20">
        <v>0</v>
      </c>
    </row>
    <row r="73" spans="1:32" hidden="1">
      <c r="A73" s="20" t="s">
        <v>153</v>
      </c>
      <c r="B73" s="20" t="s">
        <v>39</v>
      </c>
      <c r="C73" s="20">
        <v>20</v>
      </c>
      <c r="D73" s="20">
        <v>20</v>
      </c>
      <c r="E73" s="20">
        <f t="shared" ref="E73:X73" si="17">E74</f>
        <v>15</v>
      </c>
      <c r="F73" s="20">
        <f t="shared" si="17"/>
        <v>40</v>
      </c>
      <c r="G73" s="20">
        <f t="shared" si="17"/>
        <v>10</v>
      </c>
      <c r="H73" s="20">
        <f t="shared" si="17"/>
        <v>20</v>
      </c>
      <c r="I73" s="20">
        <f t="shared" si="17"/>
        <v>10</v>
      </c>
      <c r="J73" s="20">
        <f t="shared" si="17"/>
        <v>17.5</v>
      </c>
      <c r="K73" s="20">
        <f t="shared" si="17"/>
        <v>15</v>
      </c>
      <c r="L73" s="20">
        <f t="shared" si="17"/>
        <v>12.5</v>
      </c>
      <c r="M73" s="20">
        <f t="shared" si="17"/>
        <v>45</v>
      </c>
      <c r="N73" s="20">
        <f t="shared" si="17"/>
        <v>50</v>
      </c>
      <c r="O73" s="20">
        <f t="shared" si="17"/>
        <v>20</v>
      </c>
      <c r="P73" s="20">
        <f t="shared" si="17"/>
        <v>15</v>
      </c>
      <c r="Q73" s="20">
        <f t="shared" si="17"/>
        <v>5</v>
      </c>
      <c r="R73" s="20">
        <f t="shared" si="17"/>
        <v>15</v>
      </c>
      <c r="S73" s="20">
        <f t="shared" si="17"/>
        <v>20</v>
      </c>
      <c r="T73" s="20">
        <f t="shared" si="17"/>
        <v>20</v>
      </c>
      <c r="U73" s="20">
        <f t="shared" si="17"/>
        <v>20</v>
      </c>
      <c r="V73" s="20">
        <f t="shared" si="17"/>
        <v>30</v>
      </c>
      <c r="W73" s="20">
        <f t="shared" si="17"/>
        <v>40</v>
      </c>
      <c r="X73" s="20">
        <f t="shared" si="17"/>
        <v>20</v>
      </c>
      <c r="Y73" s="20">
        <v>0</v>
      </c>
    </row>
    <row r="74" spans="1:32" hidden="1">
      <c r="A74" s="20" t="s">
        <v>154</v>
      </c>
      <c r="B74" s="20" t="s">
        <v>52</v>
      </c>
      <c r="C74" s="20">
        <v>20</v>
      </c>
      <c r="D74" s="20">
        <v>20</v>
      </c>
      <c r="E74" s="20">
        <v>15</v>
      </c>
      <c r="F74" s="20">
        <v>40</v>
      </c>
      <c r="G74" s="20">
        <v>10</v>
      </c>
      <c r="H74" s="20">
        <v>20</v>
      </c>
      <c r="I74" s="20">
        <v>10</v>
      </c>
      <c r="J74" s="20">
        <v>17.5</v>
      </c>
      <c r="K74" s="20">
        <v>15</v>
      </c>
      <c r="L74" s="20">
        <v>12.5</v>
      </c>
      <c r="M74" s="20">
        <v>45</v>
      </c>
      <c r="N74" s="20">
        <v>50</v>
      </c>
      <c r="O74" s="20">
        <v>20</v>
      </c>
      <c r="P74" s="20">
        <v>15</v>
      </c>
      <c r="Q74" s="20">
        <v>5</v>
      </c>
      <c r="R74" s="20">
        <v>15</v>
      </c>
      <c r="S74" s="20">
        <v>20</v>
      </c>
      <c r="T74" s="20">
        <v>20</v>
      </c>
      <c r="U74" s="20">
        <v>20</v>
      </c>
      <c r="V74" s="20">
        <v>30</v>
      </c>
      <c r="W74" s="20">
        <v>40</v>
      </c>
      <c r="X74" s="20">
        <v>20</v>
      </c>
      <c r="Y74" s="20">
        <v>5</v>
      </c>
      <c r="Z74" s="20">
        <v>0</v>
      </c>
    </row>
    <row r="75" spans="1:32" hidden="1">
      <c r="A75" s="20" t="s">
        <v>155</v>
      </c>
      <c r="B75" s="20" t="s">
        <v>40</v>
      </c>
      <c r="C75" s="20">
        <v>45</v>
      </c>
      <c r="D75" s="20">
        <v>50</v>
      </c>
      <c r="E75" s="20">
        <f t="shared" ref="E75:Z75" si="18">E78+10</f>
        <v>45</v>
      </c>
      <c r="F75" s="20">
        <f t="shared" si="18"/>
        <v>40</v>
      </c>
      <c r="G75" s="20">
        <f t="shared" si="18"/>
        <v>45</v>
      </c>
      <c r="H75" s="20">
        <f t="shared" si="18"/>
        <v>45</v>
      </c>
      <c r="I75" s="20">
        <f t="shared" si="18"/>
        <v>40</v>
      </c>
      <c r="J75" s="20">
        <f t="shared" si="18"/>
        <v>35</v>
      </c>
      <c r="K75" s="20">
        <f t="shared" si="18"/>
        <v>40</v>
      </c>
      <c r="L75" s="20">
        <f t="shared" si="18"/>
        <v>40</v>
      </c>
      <c r="M75" s="20">
        <f t="shared" si="18"/>
        <v>60</v>
      </c>
      <c r="N75" s="20">
        <f t="shared" si="18"/>
        <v>80</v>
      </c>
      <c r="O75" s="20">
        <f t="shared" si="18"/>
        <v>40</v>
      </c>
      <c r="P75" s="20">
        <f t="shared" si="18"/>
        <v>35</v>
      </c>
      <c r="Q75" s="20">
        <f t="shared" si="18"/>
        <v>45</v>
      </c>
      <c r="R75" s="20">
        <f t="shared" si="18"/>
        <v>50</v>
      </c>
      <c r="S75" s="20">
        <f t="shared" si="18"/>
        <v>30</v>
      </c>
      <c r="T75" s="20">
        <f t="shared" si="18"/>
        <v>30</v>
      </c>
      <c r="U75" s="20">
        <f t="shared" si="18"/>
        <v>40</v>
      </c>
      <c r="V75" s="20">
        <f t="shared" si="18"/>
        <v>40</v>
      </c>
      <c r="W75" s="20">
        <f t="shared" si="18"/>
        <v>55</v>
      </c>
      <c r="X75" s="20">
        <f t="shared" si="18"/>
        <v>40</v>
      </c>
      <c r="Y75" s="20">
        <f t="shared" si="18"/>
        <v>45</v>
      </c>
      <c r="Z75" s="20">
        <f t="shared" si="18"/>
        <v>45</v>
      </c>
      <c r="AA75" s="20">
        <v>0</v>
      </c>
    </row>
    <row r="76" spans="1:32" hidden="1">
      <c r="A76" s="20" t="s">
        <v>156</v>
      </c>
      <c r="B76" s="20" t="s">
        <v>41</v>
      </c>
      <c r="C76" s="20">
        <v>15</v>
      </c>
      <c r="D76" s="20">
        <v>20</v>
      </c>
      <c r="E76" s="20">
        <v>10</v>
      </c>
      <c r="F76" s="20">
        <v>40</v>
      </c>
      <c r="G76" s="20">
        <v>15</v>
      </c>
      <c r="H76" s="20">
        <v>15</v>
      </c>
      <c r="I76" s="20">
        <v>20</v>
      </c>
      <c r="J76" s="20">
        <v>20</v>
      </c>
      <c r="K76" s="20">
        <v>15</v>
      </c>
      <c r="L76" s="20">
        <v>15</v>
      </c>
      <c r="M76" s="20">
        <v>45</v>
      </c>
      <c r="N76" s="20">
        <v>55</v>
      </c>
      <c r="O76" s="20">
        <v>20</v>
      </c>
      <c r="P76" s="20">
        <v>15</v>
      </c>
      <c r="Q76" s="20">
        <v>5</v>
      </c>
      <c r="R76" s="20">
        <v>10</v>
      </c>
      <c r="S76" s="20">
        <v>20</v>
      </c>
      <c r="T76" s="20">
        <v>20</v>
      </c>
      <c r="U76" s="20">
        <v>20</v>
      </c>
      <c r="V76" s="20">
        <v>30</v>
      </c>
      <c r="W76" s="20">
        <v>40</v>
      </c>
      <c r="X76" s="20">
        <v>20</v>
      </c>
      <c r="Y76" s="20">
        <v>5</v>
      </c>
      <c r="Z76" s="20">
        <v>5</v>
      </c>
      <c r="AA76" s="20">
        <v>40</v>
      </c>
      <c r="AB76" s="20">
        <v>0</v>
      </c>
    </row>
    <row r="77" spans="1:32" hidden="1">
      <c r="A77" s="20" t="s">
        <v>157</v>
      </c>
      <c r="B77" s="20" t="s">
        <v>53</v>
      </c>
      <c r="C77" s="20">
        <v>20</v>
      </c>
      <c r="D77" s="20">
        <v>25</v>
      </c>
      <c r="E77" s="20">
        <f t="shared" ref="E77:W77" si="19">E72+5</f>
        <v>30</v>
      </c>
      <c r="F77" s="20">
        <f t="shared" si="19"/>
        <v>45</v>
      </c>
      <c r="G77" s="20">
        <f t="shared" si="19"/>
        <v>20</v>
      </c>
      <c r="H77" s="20">
        <f t="shared" si="19"/>
        <v>30</v>
      </c>
      <c r="I77" s="20">
        <f t="shared" si="19"/>
        <v>15</v>
      </c>
      <c r="J77" s="20">
        <f t="shared" si="19"/>
        <v>25</v>
      </c>
      <c r="K77" s="20">
        <f t="shared" si="19"/>
        <v>10</v>
      </c>
      <c r="L77" s="20">
        <f t="shared" si="19"/>
        <v>20</v>
      </c>
      <c r="M77" s="20">
        <f t="shared" si="19"/>
        <v>50</v>
      </c>
      <c r="N77" s="20">
        <f t="shared" si="19"/>
        <v>65</v>
      </c>
      <c r="O77" s="20">
        <f t="shared" si="19"/>
        <v>10</v>
      </c>
      <c r="P77" s="20">
        <f t="shared" si="19"/>
        <v>25</v>
      </c>
      <c r="Q77" s="20">
        <f t="shared" si="19"/>
        <v>22.5</v>
      </c>
      <c r="R77" s="20">
        <f t="shared" si="19"/>
        <v>30</v>
      </c>
      <c r="S77" s="20">
        <f t="shared" si="19"/>
        <v>30</v>
      </c>
      <c r="T77" s="20">
        <f t="shared" si="19"/>
        <v>25</v>
      </c>
      <c r="U77" s="20">
        <f t="shared" si="19"/>
        <v>30</v>
      </c>
      <c r="V77" s="20">
        <f t="shared" si="19"/>
        <v>35</v>
      </c>
      <c r="W77" s="20">
        <f t="shared" si="19"/>
        <v>45</v>
      </c>
      <c r="X77" s="20">
        <v>15</v>
      </c>
      <c r="Y77" s="20">
        <v>25</v>
      </c>
      <c r="Z77" s="20">
        <v>25</v>
      </c>
      <c r="AA77" s="20">
        <v>50</v>
      </c>
      <c r="AB77" s="20">
        <v>25</v>
      </c>
      <c r="AC77" s="20">
        <v>0</v>
      </c>
    </row>
    <row r="78" spans="1:32" hidden="1">
      <c r="A78" s="20" t="s">
        <v>158</v>
      </c>
      <c r="B78" s="20" t="s">
        <v>42</v>
      </c>
      <c r="C78" s="20">
        <v>35</v>
      </c>
      <c r="D78" s="20">
        <v>30</v>
      </c>
      <c r="E78" s="20">
        <v>35</v>
      </c>
      <c r="F78" s="20">
        <v>30</v>
      </c>
      <c r="G78" s="20">
        <v>35</v>
      </c>
      <c r="H78" s="20">
        <v>35</v>
      </c>
      <c r="I78" s="20">
        <v>30</v>
      </c>
      <c r="J78" s="20">
        <v>25</v>
      </c>
      <c r="K78" s="20">
        <v>30</v>
      </c>
      <c r="L78" s="20">
        <v>30</v>
      </c>
      <c r="M78" s="20">
        <v>50</v>
      </c>
      <c r="N78" s="20">
        <v>70</v>
      </c>
      <c r="O78" s="20">
        <v>30</v>
      </c>
      <c r="P78" s="20">
        <v>25</v>
      </c>
      <c r="Q78" s="20">
        <v>35</v>
      </c>
      <c r="R78" s="20">
        <v>40</v>
      </c>
      <c r="S78" s="20">
        <v>20</v>
      </c>
      <c r="T78" s="20">
        <v>20</v>
      </c>
      <c r="U78" s="20">
        <v>30</v>
      </c>
      <c r="V78" s="20">
        <v>30</v>
      </c>
      <c r="W78" s="20">
        <v>45</v>
      </c>
      <c r="X78" s="20">
        <v>30</v>
      </c>
      <c r="Y78" s="20">
        <v>35</v>
      </c>
      <c r="Z78" s="20">
        <v>35</v>
      </c>
      <c r="AA78" s="20">
        <v>10</v>
      </c>
      <c r="AB78" s="20">
        <v>45</v>
      </c>
      <c r="AC78" s="20">
        <v>40</v>
      </c>
      <c r="AD78" s="20">
        <v>0</v>
      </c>
    </row>
    <row r="79" spans="1:32" hidden="1">
      <c r="A79" s="20" t="s">
        <v>159</v>
      </c>
      <c r="B79" s="20" t="s">
        <v>43</v>
      </c>
      <c r="C79" s="20">
        <v>25</v>
      </c>
      <c r="D79" s="20">
        <v>5</v>
      </c>
      <c r="E79" s="20">
        <v>25</v>
      </c>
      <c r="F79" s="20">
        <v>40</v>
      </c>
      <c r="G79" s="20">
        <v>35</v>
      </c>
      <c r="H79" s="20">
        <v>30</v>
      </c>
      <c r="I79" s="20">
        <v>17.5</v>
      </c>
      <c r="J79" s="20">
        <v>5</v>
      </c>
      <c r="K79" s="20">
        <v>20</v>
      </c>
      <c r="L79" s="20">
        <v>15</v>
      </c>
      <c r="M79" s="20">
        <v>25</v>
      </c>
      <c r="N79" s="20">
        <v>45</v>
      </c>
      <c r="O79" s="20">
        <v>25</v>
      </c>
      <c r="P79" s="20">
        <v>10</v>
      </c>
      <c r="Q79" s="20">
        <v>20</v>
      </c>
      <c r="R79" s="20">
        <v>30</v>
      </c>
      <c r="S79" s="20">
        <v>15</v>
      </c>
      <c r="T79" s="20">
        <v>15</v>
      </c>
      <c r="U79" s="20">
        <v>15</v>
      </c>
      <c r="V79" s="20">
        <v>15</v>
      </c>
      <c r="W79" s="20">
        <v>30</v>
      </c>
      <c r="X79" s="20">
        <v>15</v>
      </c>
      <c r="Y79" s="20">
        <v>17.5</v>
      </c>
      <c r="Z79" s="20">
        <v>25</v>
      </c>
      <c r="AA79" s="20">
        <v>35</v>
      </c>
      <c r="AB79" s="20">
        <v>20</v>
      </c>
      <c r="AC79" s="20">
        <v>25</v>
      </c>
      <c r="AD79" s="20">
        <v>25</v>
      </c>
      <c r="AE79" s="20">
        <v>0</v>
      </c>
    </row>
    <row r="80" spans="1:32" hidden="1">
      <c r="A80" s="20" t="s">
        <v>160</v>
      </c>
      <c r="B80" s="20" t="s">
        <v>44</v>
      </c>
      <c r="C80" s="20">
        <v>10</v>
      </c>
      <c r="D80" s="20">
        <v>15</v>
      </c>
      <c r="E80" s="20">
        <v>15</v>
      </c>
      <c r="F80" s="20">
        <v>50</v>
      </c>
      <c r="G80" s="20">
        <v>25</v>
      </c>
      <c r="H80" s="20">
        <v>15</v>
      </c>
      <c r="I80" s="20">
        <v>30</v>
      </c>
      <c r="J80" s="20">
        <v>20</v>
      </c>
      <c r="K80" s="20">
        <v>30</v>
      </c>
      <c r="L80" s="20">
        <v>20</v>
      </c>
      <c r="M80" s="20">
        <v>50</v>
      </c>
      <c r="N80" s="20">
        <v>55</v>
      </c>
      <c r="O80" s="20">
        <v>35</v>
      </c>
      <c r="P80" s="20">
        <v>20</v>
      </c>
      <c r="Q80" s="20">
        <v>15</v>
      </c>
      <c r="R80" s="20">
        <v>25</v>
      </c>
      <c r="S80" s="20">
        <v>30</v>
      </c>
      <c r="T80" s="20">
        <v>30</v>
      </c>
      <c r="U80" s="20">
        <v>30</v>
      </c>
      <c r="V80" s="20">
        <v>30</v>
      </c>
      <c r="W80" s="20">
        <v>40</v>
      </c>
      <c r="X80" s="20">
        <v>35</v>
      </c>
      <c r="Y80" s="20">
        <v>17.5</v>
      </c>
      <c r="Z80" s="20">
        <v>15</v>
      </c>
      <c r="AA80" s="20">
        <v>50</v>
      </c>
      <c r="AB80" s="20">
        <v>15</v>
      </c>
      <c r="AC80" s="20">
        <v>30</v>
      </c>
      <c r="AD80" s="20">
        <v>40</v>
      </c>
      <c r="AE80" s="20">
        <v>25</v>
      </c>
      <c r="AF80" s="20">
        <v>0</v>
      </c>
    </row>
    <row r="81" spans="1:38" hidden="1">
      <c r="A81" s="20" t="s">
        <v>161</v>
      </c>
      <c r="B81" s="20" t="s">
        <v>46</v>
      </c>
      <c r="C81" s="20">
        <v>20</v>
      </c>
      <c r="D81" s="20">
        <v>20</v>
      </c>
      <c r="E81" s="20">
        <v>15</v>
      </c>
      <c r="F81" s="20">
        <v>30</v>
      </c>
      <c r="G81" s="20">
        <v>20</v>
      </c>
      <c r="H81" s="20">
        <v>15</v>
      </c>
      <c r="I81" s="20">
        <v>10</v>
      </c>
      <c r="J81" s="20">
        <v>15</v>
      </c>
      <c r="K81" s="20">
        <v>10</v>
      </c>
      <c r="L81" s="20">
        <v>10</v>
      </c>
      <c r="M81" s="20">
        <v>40</v>
      </c>
      <c r="N81" s="20">
        <v>50</v>
      </c>
      <c r="O81" s="20">
        <v>15</v>
      </c>
      <c r="P81" s="20">
        <v>12.5</v>
      </c>
      <c r="Q81" s="20">
        <v>15</v>
      </c>
      <c r="R81" s="20">
        <v>25</v>
      </c>
      <c r="S81" s="20">
        <v>15</v>
      </c>
      <c r="T81" s="20">
        <v>15</v>
      </c>
      <c r="U81" s="20">
        <v>15</v>
      </c>
      <c r="V81" s="20">
        <v>25</v>
      </c>
      <c r="W81" s="20">
        <v>40</v>
      </c>
      <c r="X81" s="20">
        <v>15</v>
      </c>
      <c r="Y81" s="20">
        <v>10</v>
      </c>
      <c r="Z81" s="20">
        <v>15</v>
      </c>
      <c r="AA81" s="20">
        <v>30</v>
      </c>
      <c r="AB81" s="20">
        <v>25</v>
      </c>
      <c r="AC81" s="20">
        <v>15</v>
      </c>
      <c r="AD81" s="20">
        <v>30</v>
      </c>
      <c r="AE81" s="20">
        <v>15</v>
      </c>
      <c r="AF81" s="20">
        <v>25</v>
      </c>
      <c r="AG81" s="20">
        <v>0</v>
      </c>
    </row>
    <row r="82" spans="1:38" hidden="1">
      <c r="A82" s="20" t="s">
        <v>162</v>
      </c>
      <c r="B82" s="20" t="s">
        <v>47</v>
      </c>
      <c r="C82" s="20">
        <v>35</v>
      </c>
      <c r="D82" s="20">
        <v>40</v>
      </c>
      <c r="E82" s="20">
        <v>30</v>
      </c>
      <c r="F82" s="20">
        <v>20</v>
      </c>
      <c r="G82" s="20">
        <v>35</v>
      </c>
      <c r="H82" s="20">
        <v>30</v>
      </c>
      <c r="I82" s="20">
        <v>20</v>
      </c>
      <c r="J82" s="20">
        <v>30</v>
      </c>
      <c r="K82" s="20">
        <v>25</v>
      </c>
      <c r="L82" s="20">
        <v>30</v>
      </c>
      <c r="M82" s="20">
        <v>35</v>
      </c>
      <c r="N82" s="20">
        <v>50</v>
      </c>
      <c r="O82" s="20">
        <v>25</v>
      </c>
      <c r="P82" s="20">
        <v>30</v>
      </c>
      <c r="Q82" s="20">
        <v>30</v>
      </c>
      <c r="R82" s="20">
        <v>40</v>
      </c>
      <c r="S82" s="20">
        <v>25</v>
      </c>
      <c r="T82" s="20">
        <v>15</v>
      </c>
      <c r="U82" s="20">
        <v>30</v>
      </c>
      <c r="V82" s="20">
        <v>30</v>
      </c>
      <c r="W82" s="20">
        <v>40</v>
      </c>
      <c r="X82" s="20">
        <v>17.5</v>
      </c>
      <c r="Y82" s="20">
        <v>30</v>
      </c>
      <c r="Z82" s="20">
        <v>30</v>
      </c>
      <c r="AA82" s="20">
        <v>35</v>
      </c>
      <c r="AB82" s="20">
        <v>40</v>
      </c>
      <c r="AC82" s="20">
        <v>30</v>
      </c>
      <c r="AD82" s="20">
        <v>20</v>
      </c>
      <c r="AE82" s="20">
        <v>25</v>
      </c>
      <c r="AF82" s="20">
        <v>45</v>
      </c>
      <c r="AG82" s="20">
        <v>20</v>
      </c>
      <c r="AH82" s="20">
        <v>0</v>
      </c>
    </row>
    <row r="83" spans="1:38" hidden="1">
      <c r="A83" s="20" t="s">
        <v>163</v>
      </c>
      <c r="B83" s="20" t="s">
        <v>62</v>
      </c>
      <c r="C83" s="20">
        <v>40</v>
      </c>
      <c r="D83" s="20">
        <v>30</v>
      </c>
      <c r="E83" s="20">
        <v>35</v>
      </c>
      <c r="F83" s="20">
        <v>35</v>
      </c>
      <c r="G83" s="20">
        <v>40</v>
      </c>
      <c r="H83" s="20">
        <v>30</v>
      </c>
      <c r="I83" s="20">
        <v>30</v>
      </c>
      <c r="J83" s="20">
        <v>20</v>
      </c>
      <c r="K83" s="20">
        <v>35</v>
      </c>
      <c r="L83" s="20">
        <v>30</v>
      </c>
      <c r="M83" s="20">
        <v>30</v>
      </c>
      <c r="N83" s="20">
        <v>40</v>
      </c>
      <c r="O83" s="20">
        <v>40</v>
      </c>
      <c r="P83" s="20">
        <v>25</v>
      </c>
      <c r="Q83" s="20">
        <v>35</v>
      </c>
      <c r="R83" s="20">
        <v>35</v>
      </c>
      <c r="S83" s="20">
        <v>25</v>
      </c>
      <c r="T83" s="20">
        <v>30</v>
      </c>
      <c r="U83" s="20">
        <v>25</v>
      </c>
      <c r="V83" s="20">
        <v>20</v>
      </c>
      <c r="W83" s="20">
        <v>15</v>
      </c>
      <c r="X83" s="20">
        <v>35</v>
      </c>
      <c r="Y83" s="20">
        <v>30</v>
      </c>
      <c r="Z83" s="20">
        <v>35</v>
      </c>
      <c r="AA83" s="20">
        <v>50</v>
      </c>
      <c r="AB83" s="20">
        <v>30</v>
      </c>
      <c r="AC83" s="20">
        <v>40</v>
      </c>
      <c r="AD83" s="20">
        <v>40</v>
      </c>
      <c r="AE83" s="20">
        <v>17.5</v>
      </c>
      <c r="AF83" s="20">
        <v>30</v>
      </c>
      <c r="AG83" s="20">
        <v>30</v>
      </c>
      <c r="AH83" s="20">
        <v>25</v>
      </c>
      <c r="AI83" s="20">
        <v>0</v>
      </c>
    </row>
    <row r="84" spans="1:38" hidden="1">
      <c r="A84" s="20" t="s">
        <v>164</v>
      </c>
      <c r="B84" s="20" t="s">
        <v>48</v>
      </c>
      <c r="C84" s="20">
        <v>60</v>
      </c>
      <c r="D84" s="20">
        <v>50</v>
      </c>
      <c r="E84" s="20">
        <v>65</v>
      </c>
      <c r="F84" s="20">
        <v>45</v>
      </c>
      <c r="G84" s="20">
        <v>70</v>
      </c>
      <c r="H84" s="20">
        <v>45</v>
      </c>
      <c r="I84" s="20">
        <v>45</v>
      </c>
      <c r="J84" s="20">
        <v>35</v>
      </c>
      <c r="K84" s="20">
        <v>65</v>
      </c>
      <c r="L84" s="20">
        <v>45</v>
      </c>
      <c r="M84" s="20">
        <v>20</v>
      </c>
      <c r="N84" s="20">
        <v>15</v>
      </c>
      <c r="O84" s="20">
        <v>55</v>
      </c>
      <c r="P84" s="20">
        <v>40</v>
      </c>
      <c r="Q84" s="20">
        <v>45</v>
      </c>
      <c r="R84" s="20">
        <v>60</v>
      </c>
      <c r="S84" s="20">
        <v>45</v>
      </c>
      <c r="T84" s="20">
        <v>50</v>
      </c>
      <c r="U84" s="20">
        <v>35</v>
      </c>
      <c r="V84" s="20">
        <v>40</v>
      </c>
      <c r="W84" s="20">
        <v>20</v>
      </c>
      <c r="X84" s="20">
        <v>65</v>
      </c>
      <c r="Y84" s="20">
        <v>50</v>
      </c>
      <c r="Z84" s="20">
        <v>50</v>
      </c>
      <c r="AA84" s="20">
        <v>75</v>
      </c>
      <c r="AB84" s="20">
        <v>55</v>
      </c>
      <c r="AC84" s="20">
        <v>60</v>
      </c>
      <c r="AD84" s="20">
        <v>60</v>
      </c>
      <c r="AE84" s="20">
        <v>40</v>
      </c>
      <c r="AF84" s="20">
        <v>50</v>
      </c>
      <c r="AG84" s="20">
        <v>50</v>
      </c>
      <c r="AH84" s="20">
        <v>55</v>
      </c>
      <c r="AI84" s="20">
        <v>30</v>
      </c>
      <c r="AJ84" s="20">
        <v>0</v>
      </c>
    </row>
    <row r="85" spans="1:38" hidden="1">
      <c r="A85" s="20" t="s">
        <v>165</v>
      </c>
      <c r="B85" s="20" t="s">
        <v>49</v>
      </c>
      <c r="C85" s="20">
        <v>15</v>
      </c>
      <c r="D85" s="20">
        <v>15</v>
      </c>
      <c r="E85" s="20">
        <v>20</v>
      </c>
      <c r="F85" s="20">
        <v>50</v>
      </c>
      <c r="G85" s="20">
        <v>20</v>
      </c>
      <c r="H85" s="20">
        <v>20</v>
      </c>
      <c r="I85" s="20">
        <v>20</v>
      </c>
      <c r="J85" s="20">
        <v>15</v>
      </c>
      <c r="K85" s="20">
        <v>20</v>
      </c>
      <c r="L85" s="20">
        <v>5</v>
      </c>
      <c r="M85" s="20">
        <v>40</v>
      </c>
      <c r="N85" s="20">
        <v>50</v>
      </c>
      <c r="O85" s="20">
        <v>25</v>
      </c>
      <c r="P85" s="20">
        <v>15</v>
      </c>
      <c r="Q85" s="20">
        <v>12.5</v>
      </c>
      <c r="R85" s="20">
        <v>20</v>
      </c>
      <c r="S85" s="20">
        <v>25</v>
      </c>
      <c r="T85" s="20">
        <v>30</v>
      </c>
      <c r="U85" s="20">
        <v>20</v>
      </c>
      <c r="V85" s="20">
        <v>30</v>
      </c>
      <c r="W85" s="20">
        <v>40</v>
      </c>
      <c r="X85" s="20">
        <v>25</v>
      </c>
      <c r="Y85" s="20">
        <v>15</v>
      </c>
      <c r="Z85" s="20">
        <v>15</v>
      </c>
      <c r="AA85" s="20">
        <v>45</v>
      </c>
      <c r="AB85" s="20">
        <v>15</v>
      </c>
      <c r="AC85" s="20">
        <v>30</v>
      </c>
      <c r="AD85" s="20">
        <v>35</v>
      </c>
      <c r="AE85" s="20">
        <v>17.5</v>
      </c>
      <c r="AF85" s="20">
        <v>20</v>
      </c>
      <c r="AG85" s="20">
        <v>15</v>
      </c>
      <c r="AH85" s="20">
        <v>40</v>
      </c>
      <c r="AI85" s="20">
        <v>30</v>
      </c>
      <c r="AJ85" s="20">
        <v>55</v>
      </c>
      <c r="AK85" s="20">
        <v>0</v>
      </c>
    </row>
    <row r="86" spans="1:38" hidden="1"/>
    <row r="87" spans="1:38">
      <c r="A87" s="35" t="s">
        <v>167</v>
      </c>
    </row>
    <row r="88" spans="1:38" s="76" customFormat="1" ht="157.5">
      <c r="C88" s="76" t="s">
        <v>11</v>
      </c>
      <c r="D88" s="76" t="s">
        <v>13</v>
      </c>
      <c r="E88" s="76" t="s">
        <v>14</v>
      </c>
      <c r="F88" s="76" t="s">
        <v>17</v>
      </c>
      <c r="G88" s="76" t="s">
        <v>18</v>
      </c>
      <c r="H88" s="76" t="s">
        <v>19</v>
      </c>
      <c r="I88" s="76" t="s">
        <v>20</v>
      </c>
      <c r="J88" s="76" t="s">
        <v>21</v>
      </c>
      <c r="K88" s="76" t="s">
        <v>22</v>
      </c>
      <c r="L88" s="76" t="s">
        <v>23</v>
      </c>
      <c r="M88" s="76" t="s">
        <v>25</v>
      </c>
      <c r="N88" s="76" t="s">
        <v>27</v>
      </c>
      <c r="O88" s="76" t="s">
        <v>28</v>
      </c>
      <c r="P88" s="76" t="s">
        <v>29</v>
      </c>
      <c r="Q88" s="76" t="s">
        <v>61</v>
      </c>
      <c r="R88" s="76" t="s">
        <v>31</v>
      </c>
      <c r="S88" s="76" t="s">
        <v>33</v>
      </c>
      <c r="T88" s="76" t="s">
        <v>34</v>
      </c>
      <c r="U88" s="76" t="s">
        <v>35</v>
      </c>
      <c r="V88" s="76" t="s">
        <v>36</v>
      </c>
      <c r="W88" s="76" t="s">
        <v>37</v>
      </c>
      <c r="X88" s="76" t="s">
        <v>38</v>
      </c>
      <c r="Y88" s="76" t="s">
        <v>39</v>
      </c>
      <c r="Z88" s="76" t="s">
        <v>52</v>
      </c>
      <c r="AA88" s="76" t="s">
        <v>40</v>
      </c>
      <c r="AB88" s="76" t="s">
        <v>41</v>
      </c>
      <c r="AC88" s="76" t="s">
        <v>53</v>
      </c>
      <c r="AD88" s="76" t="s">
        <v>42</v>
      </c>
      <c r="AE88" s="76" t="s">
        <v>43</v>
      </c>
      <c r="AF88" s="76" t="s">
        <v>44</v>
      </c>
      <c r="AG88" s="76" t="s">
        <v>46</v>
      </c>
      <c r="AH88" s="76" t="s">
        <v>47</v>
      </c>
      <c r="AI88" s="76" t="s">
        <v>62</v>
      </c>
      <c r="AJ88" s="76" t="s">
        <v>48</v>
      </c>
      <c r="AK88" s="76" t="s">
        <v>49</v>
      </c>
    </row>
    <row r="89" spans="1:38">
      <c r="A89" s="20" t="s">
        <v>168</v>
      </c>
      <c r="B89" s="20" t="s">
        <v>11</v>
      </c>
      <c r="C89" s="20">
        <f t="shared" ref="C89:AK89" si="20">IF(C51="",C12,C51)</f>
        <v>0</v>
      </c>
      <c r="D89" s="20">
        <f t="shared" si="20"/>
        <v>30</v>
      </c>
      <c r="E89" s="20">
        <f t="shared" si="20"/>
        <v>15</v>
      </c>
      <c r="F89" s="20">
        <f t="shared" si="20"/>
        <v>50</v>
      </c>
      <c r="G89" s="20">
        <f t="shared" si="20"/>
        <v>30</v>
      </c>
      <c r="H89" s="20">
        <f t="shared" si="20"/>
        <v>5</v>
      </c>
      <c r="I89" s="20">
        <f t="shared" si="20"/>
        <v>25</v>
      </c>
      <c r="J89" s="20">
        <f t="shared" si="20"/>
        <v>30</v>
      </c>
      <c r="K89" s="20">
        <f t="shared" si="20"/>
        <v>30</v>
      </c>
      <c r="L89" s="20">
        <f t="shared" si="20"/>
        <v>20</v>
      </c>
      <c r="M89" s="20">
        <f t="shared" si="20"/>
        <v>40</v>
      </c>
      <c r="N89" s="20">
        <f t="shared" si="20"/>
        <v>75</v>
      </c>
      <c r="O89" s="20">
        <f t="shared" si="20"/>
        <v>30</v>
      </c>
      <c r="P89" s="20">
        <f t="shared" si="20"/>
        <v>25</v>
      </c>
      <c r="Q89" s="20">
        <f t="shared" si="20"/>
        <v>20</v>
      </c>
      <c r="R89" s="20">
        <f t="shared" si="20"/>
        <v>30</v>
      </c>
      <c r="S89" s="20">
        <f t="shared" si="20"/>
        <v>30</v>
      </c>
      <c r="T89" s="20">
        <f t="shared" si="20"/>
        <v>35</v>
      </c>
      <c r="U89" s="20">
        <f t="shared" si="20"/>
        <v>30</v>
      </c>
      <c r="V89" s="20">
        <f t="shared" si="20"/>
        <v>30</v>
      </c>
      <c r="W89" s="20">
        <f t="shared" si="20"/>
        <v>50</v>
      </c>
      <c r="X89" s="20">
        <f t="shared" si="20"/>
        <v>30</v>
      </c>
      <c r="Y89" s="20">
        <f t="shared" si="20"/>
        <v>20</v>
      </c>
      <c r="Z89" s="20">
        <f t="shared" si="20"/>
        <v>20</v>
      </c>
      <c r="AA89" s="20">
        <f t="shared" si="20"/>
        <v>45</v>
      </c>
      <c r="AB89" s="20">
        <f t="shared" si="20"/>
        <v>15</v>
      </c>
      <c r="AC89" s="20">
        <f t="shared" si="20"/>
        <v>20</v>
      </c>
      <c r="AD89" s="20">
        <f t="shared" si="20"/>
        <v>35</v>
      </c>
      <c r="AE89" s="20">
        <f t="shared" si="20"/>
        <v>25</v>
      </c>
      <c r="AF89" s="20">
        <f t="shared" si="20"/>
        <v>10</v>
      </c>
      <c r="AG89" s="20">
        <f t="shared" si="20"/>
        <v>20</v>
      </c>
      <c r="AH89" s="20">
        <f t="shared" si="20"/>
        <v>35</v>
      </c>
      <c r="AI89" s="20">
        <f t="shared" si="20"/>
        <v>40</v>
      </c>
      <c r="AJ89" s="20">
        <f t="shared" si="20"/>
        <v>60</v>
      </c>
      <c r="AK89" s="20">
        <f t="shared" si="20"/>
        <v>15</v>
      </c>
      <c r="AL89" s="36"/>
    </row>
    <row r="90" spans="1:38">
      <c r="A90" s="20" t="s">
        <v>132</v>
      </c>
      <c r="B90" s="20" t="s">
        <v>13</v>
      </c>
      <c r="C90" s="20">
        <f t="shared" ref="C90:AK90" si="21">IF(C52="",C13,C52)</f>
        <v>30</v>
      </c>
      <c r="D90" s="20">
        <f t="shared" si="21"/>
        <v>0</v>
      </c>
      <c r="E90" s="20">
        <f t="shared" si="21"/>
        <v>25</v>
      </c>
      <c r="F90" s="20">
        <f t="shared" si="21"/>
        <v>45</v>
      </c>
      <c r="G90" s="20">
        <f t="shared" si="21"/>
        <v>30</v>
      </c>
      <c r="H90" s="20">
        <f t="shared" si="21"/>
        <v>15</v>
      </c>
      <c r="I90" s="20">
        <f t="shared" si="21"/>
        <v>10</v>
      </c>
      <c r="J90" s="20">
        <f t="shared" si="21"/>
        <v>10</v>
      </c>
      <c r="K90" s="20">
        <f t="shared" si="21"/>
        <v>20</v>
      </c>
      <c r="L90" s="20">
        <f t="shared" si="21"/>
        <v>15</v>
      </c>
      <c r="M90" s="20">
        <f t="shared" si="21"/>
        <v>40</v>
      </c>
      <c r="N90" s="20">
        <f t="shared" si="21"/>
        <v>65</v>
      </c>
      <c r="O90" s="20">
        <f t="shared" si="21"/>
        <v>25</v>
      </c>
      <c r="P90" s="20">
        <f t="shared" si="21"/>
        <v>5</v>
      </c>
      <c r="Q90" s="20">
        <f t="shared" si="21"/>
        <v>20</v>
      </c>
      <c r="R90" s="20">
        <f t="shared" si="21"/>
        <v>25</v>
      </c>
      <c r="S90" s="20">
        <f t="shared" si="21"/>
        <v>20</v>
      </c>
      <c r="T90" s="20">
        <f t="shared" si="21"/>
        <v>25</v>
      </c>
      <c r="U90" s="20">
        <f t="shared" si="21"/>
        <v>20</v>
      </c>
      <c r="V90" s="20">
        <f t="shared" si="21"/>
        <v>20</v>
      </c>
      <c r="W90" s="20">
        <f t="shared" si="21"/>
        <v>40</v>
      </c>
      <c r="X90" s="20">
        <f t="shared" si="21"/>
        <v>25</v>
      </c>
      <c r="Y90" s="20">
        <f t="shared" si="21"/>
        <v>20</v>
      </c>
      <c r="Z90" s="20">
        <f t="shared" si="21"/>
        <v>20</v>
      </c>
      <c r="AA90" s="20">
        <f t="shared" si="21"/>
        <v>50</v>
      </c>
      <c r="AB90" s="20">
        <f t="shared" si="21"/>
        <v>20</v>
      </c>
      <c r="AC90" s="20">
        <f t="shared" si="21"/>
        <v>25</v>
      </c>
      <c r="AD90" s="20">
        <f t="shared" si="21"/>
        <v>30</v>
      </c>
      <c r="AE90" s="20">
        <f t="shared" si="21"/>
        <v>5</v>
      </c>
      <c r="AF90" s="20">
        <f t="shared" si="21"/>
        <v>15</v>
      </c>
      <c r="AG90" s="20">
        <f t="shared" si="21"/>
        <v>20</v>
      </c>
      <c r="AH90" s="20">
        <f t="shared" si="21"/>
        <v>40</v>
      </c>
      <c r="AI90" s="20">
        <f t="shared" si="21"/>
        <v>30</v>
      </c>
      <c r="AJ90" s="20">
        <f t="shared" si="21"/>
        <v>50</v>
      </c>
      <c r="AK90" s="20">
        <f t="shared" si="21"/>
        <v>15</v>
      </c>
      <c r="AL90" s="36"/>
    </row>
    <row r="91" spans="1:38">
      <c r="A91" s="20" t="s">
        <v>133</v>
      </c>
      <c r="B91" s="20" t="s">
        <v>14</v>
      </c>
      <c r="C91" s="20">
        <f t="shared" ref="C91:AK91" si="22">IF(C53="",C14,C53)</f>
        <v>15</v>
      </c>
      <c r="D91" s="20">
        <f t="shared" si="22"/>
        <v>25</v>
      </c>
      <c r="E91" s="20">
        <f t="shared" si="22"/>
        <v>0</v>
      </c>
      <c r="F91" s="20">
        <f t="shared" si="22"/>
        <v>45</v>
      </c>
      <c r="G91" s="20">
        <f t="shared" si="22"/>
        <v>15</v>
      </c>
      <c r="H91" s="20">
        <f t="shared" si="22"/>
        <v>10</v>
      </c>
      <c r="I91" s="20">
        <f t="shared" si="22"/>
        <v>15</v>
      </c>
      <c r="J91" s="20">
        <f t="shared" si="22"/>
        <v>20</v>
      </c>
      <c r="K91" s="20">
        <f t="shared" si="22"/>
        <v>25</v>
      </c>
      <c r="L91" s="20">
        <f t="shared" si="22"/>
        <v>15</v>
      </c>
      <c r="M91" s="20">
        <f t="shared" si="22"/>
        <v>40</v>
      </c>
      <c r="N91" s="20">
        <f t="shared" si="22"/>
        <v>75</v>
      </c>
      <c r="O91" s="20">
        <f t="shared" si="22"/>
        <v>25</v>
      </c>
      <c r="P91" s="20">
        <f t="shared" si="22"/>
        <v>25</v>
      </c>
      <c r="Q91" s="20">
        <f t="shared" si="22"/>
        <v>15</v>
      </c>
      <c r="R91" s="20">
        <f t="shared" si="22"/>
        <v>15</v>
      </c>
      <c r="S91" s="20">
        <f t="shared" si="22"/>
        <v>25</v>
      </c>
      <c r="T91" s="20">
        <f t="shared" si="22"/>
        <v>30</v>
      </c>
      <c r="U91" s="20">
        <f t="shared" si="22"/>
        <v>25</v>
      </c>
      <c r="V91" s="20">
        <f t="shared" si="22"/>
        <v>35</v>
      </c>
      <c r="W91" s="20">
        <f t="shared" si="22"/>
        <v>55</v>
      </c>
      <c r="X91" s="20">
        <f t="shared" si="22"/>
        <v>25</v>
      </c>
      <c r="Y91" s="20">
        <f t="shared" si="22"/>
        <v>15</v>
      </c>
      <c r="Z91" s="20">
        <f t="shared" si="22"/>
        <v>15</v>
      </c>
      <c r="AA91" s="20">
        <f t="shared" si="22"/>
        <v>45</v>
      </c>
      <c r="AB91" s="20">
        <f t="shared" si="22"/>
        <v>10</v>
      </c>
      <c r="AC91" s="20">
        <f t="shared" si="22"/>
        <v>30</v>
      </c>
      <c r="AD91" s="20">
        <f t="shared" si="22"/>
        <v>35</v>
      </c>
      <c r="AE91" s="20">
        <f t="shared" si="22"/>
        <v>25</v>
      </c>
      <c r="AF91" s="20">
        <f t="shared" si="22"/>
        <v>15</v>
      </c>
      <c r="AG91" s="20">
        <f t="shared" si="22"/>
        <v>15</v>
      </c>
      <c r="AH91" s="20">
        <f t="shared" si="22"/>
        <v>30</v>
      </c>
      <c r="AI91" s="20">
        <f t="shared" si="22"/>
        <v>35</v>
      </c>
      <c r="AJ91" s="20">
        <f t="shared" si="22"/>
        <v>65</v>
      </c>
      <c r="AK91" s="20">
        <f t="shared" si="22"/>
        <v>20</v>
      </c>
      <c r="AL91" s="36"/>
    </row>
    <row r="92" spans="1:38">
      <c r="A92" s="20" t="s">
        <v>134</v>
      </c>
      <c r="B92" s="20" t="s">
        <v>17</v>
      </c>
      <c r="C92" s="20">
        <f t="shared" ref="C92:AK92" si="23">IF(C54="",C15,C54)</f>
        <v>50</v>
      </c>
      <c r="D92" s="20">
        <f t="shared" si="23"/>
        <v>45</v>
      </c>
      <c r="E92" s="20">
        <f t="shared" si="23"/>
        <v>45</v>
      </c>
      <c r="F92" s="20">
        <f t="shared" si="23"/>
        <v>0</v>
      </c>
      <c r="G92" s="20">
        <f t="shared" si="23"/>
        <v>45</v>
      </c>
      <c r="H92" s="20">
        <f t="shared" si="23"/>
        <v>40</v>
      </c>
      <c r="I92" s="20">
        <f t="shared" si="23"/>
        <v>35</v>
      </c>
      <c r="J92" s="20">
        <f t="shared" si="23"/>
        <v>30</v>
      </c>
      <c r="K92" s="20">
        <f t="shared" si="23"/>
        <v>40</v>
      </c>
      <c r="L92" s="20">
        <f t="shared" si="23"/>
        <v>40</v>
      </c>
      <c r="M92" s="20">
        <f t="shared" si="23"/>
        <v>15</v>
      </c>
      <c r="N92" s="20">
        <f t="shared" si="23"/>
        <v>55</v>
      </c>
      <c r="O92" s="20">
        <f t="shared" si="23"/>
        <v>40</v>
      </c>
      <c r="P92" s="20">
        <f t="shared" si="23"/>
        <v>40</v>
      </c>
      <c r="Q92" s="20">
        <f t="shared" si="23"/>
        <v>40</v>
      </c>
      <c r="R92" s="20">
        <f t="shared" si="23"/>
        <v>50</v>
      </c>
      <c r="S92" s="20">
        <f t="shared" si="23"/>
        <v>20</v>
      </c>
      <c r="T92" s="20">
        <f t="shared" si="23"/>
        <v>30</v>
      </c>
      <c r="U92" s="20">
        <f t="shared" si="23"/>
        <v>20</v>
      </c>
      <c r="V92" s="20">
        <f t="shared" si="23"/>
        <v>45</v>
      </c>
      <c r="W92" s="20">
        <f t="shared" si="23"/>
        <v>35</v>
      </c>
      <c r="X92" s="20">
        <f t="shared" si="23"/>
        <v>40</v>
      </c>
      <c r="Y92" s="20">
        <f t="shared" si="23"/>
        <v>40</v>
      </c>
      <c r="Z92" s="20">
        <f t="shared" si="23"/>
        <v>40</v>
      </c>
      <c r="AA92" s="20">
        <f t="shared" si="23"/>
        <v>40</v>
      </c>
      <c r="AB92" s="20">
        <f t="shared" si="23"/>
        <v>40</v>
      </c>
      <c r="AC92" s="20">
        <f t="shared" si="23"/>
        <v>45</v>
      </c>
      <c r="AD92" s="20">
        <f t="shared" si="23"/>
        <v>30</v>
      </c>
      <c r="AE92" s="20">
        <f t="shared" si="23"/>
        <v>40</v>
      </c>
      <c r="AF92" s="20">
        <f t="shared" si="23"/>
        <v>50</v>
      </c>
      <c r="AG92" s="20">
        <f t="shared" si="23"/>
        <v>30</v>
      </c>
      <c r="AH92" s="20">
        <f t="shared" si="23"/>
        <v>20</v>
      </c>
      <c r="AI92" s="20">
        <f t="shared" si="23"/>
        <v>35</v>
      </c>
      <c r="AJ92" s="20">
        <f t="shared" si="23"/>
        <v>45</v>
      </c>
      <c r="AK92" s="20">
        <f t="shared" si="23"/>
        <v>50</v>
      </c>
      <c r="AL92" s="36"/>
    </row>
    <row r="93" spans="1:38">
      <c r="A93" s="20" t="s">
        <v>135</v>
      </c>
      <c r="B93" s="20" t="s">
        <v>18</v>
      </c>
      <c r="C93" s="20">
        <f t="shared" ref="C93:AK93" si="24">IF(C55="",C16,C55)</f>
        <v>30</v>
      </c>
      <c r="D93" s="20">
        <f t="shared" si="24"/>
        <v>30</v>
      </c>
      <c r="E93" s="20">
        <f t="shared" si="24"/>
        <v>15</v>
      </c>
      <c r="F93" s="20">
        <f t="shared" si="24"/>
        <v>45</v>
      </c>
      <c r="G93" s="20">
        <f t="shared" si="24"/>
        <v>0</v>
      </c>
      <c r="H93" s="20">
        <f t="shared" si="24"/>
        <v>30</v>
      </c>
      <c r="I93" s="20">
        <f t="shared" si="24"/>
        <v>20</v>
      </c>
      <c r="J93" s="20">
        <f t="shared" si="24"/>
        <v>30</v>
      </c>
      <c r="K93" s="20">
        <f t="shared" si="24"/>
        <v>15</v>
      </c>
      <c r="L93" s="20">
        <f t="shared" si="24"/>
        <v>20</v>
      </c>
      <c r="M93" s="20">
        <f t="shared" si="24"/>
        <v>50</v>
      </c>
      <c r="N93" s="20">
        <f t="shared" si="24"/>
        <v>80</v>
      </c>
      <c r="O93" s="20">
        <f t="shared" si="24"/>
        <v>15</v>
      </c>
      <c r="P93" s="20">
        <f t="shared" si="24"/>
        <v>35</v>
      </c>
      <c r="Q93" s="20">
        <f t="shared" si="24"/>
        <v>10</v>
      </c>
      <c r="R93" s="20">
        <f t="shared" si="24"/>
        <v>15</v>
      </c>
      <c r="S93" s="20">
        <f t="shared" si="24"/>
        <v>30</v>
      </c>
      <c r="T93" s="20">
        <f t="shared" si="24"/>
        <v>30</v>
      </c>
      <c r="U93" s="20">
        <f t="shared" si="24"/>
        <v>30</v>
      </c>
      <c r="V93" s="20">
        <f t="shared" si="24"/>
        <v>40</v>
      </c>
      <c r="W93" s="20">
        <f t="shared" si="24"/>
        <v>60</v>
      </c>
      <c r="X93" s="20">
        <f t="shared" si="24"/>
        <v>15</v>
      </c>
      <c r="Y93" s="20">
        <f t="shared" si="24"/>
        <v>10</v>
      </c>
      <c r="Z93" s="20">
        <f t="shared" si="24"/>
        <v>10</v>
      </c>
      <c r="AA93" s="20">
        <f t="shared" si="24"/>
        <v>45</v>
      </c>
      <c r="AB93" s="20">
        <f t="shared" si="24"/>
        <v>15</v>
      </c>
      <c r="AC93" s="20">
        <f t="shared" si="24"/>
        <v>20</v>
      </c>
      <c r="AD93" s="20">
        <f t="shared" si="24"/>
        <v>35</v>
      </c>
      <c r="AE93" s="20">
        <f t="shared" si="24"/>
        <v>35</v>
      </c>
      <c r="AF93" s="20">
        <f t="shared" si="24"/>
        <v>25</v>
      </c>
      <c r="AG93" s="20">
        <f t="shared" si="24"/>
        <v>20</v>
      </c>
      <c r="AH93" s="20">
        <f t="shared" si="24"/>
        <v>35</v>
      </c>
      <c r="AI93" s="20">
        <f t="shared" si="24"/>
        <v>40</v>
      </c>
      <c r="AJ93" s="20">
        <f t="shared" si="24"/>
        <v>70</v>
      </c>
      <c r="AK93" s="20">
        <f t="shared" si="24"/>
        <v>20</v>
      </c>
      <c r="AL93" s="36"/>
    </row>
    <row r="94" spans="1:38">
      <c r="A94" s="20" t="s">
        <v>136</v>
      </c>
      <c r="B94" s="20" t="s">
        <v>19</v>
      </c>
      <c r="C94" s="20">
        <f t="shared" ref="C94:AK94" si="25">IF(C56="",C17,C56)</f>
        <v>5</v>
      </c>
      <c r="D94" s="20">
        <f t="shared" si="25"/>
        <v>15</v>
      </c>
      <c r="E94" s="20">
        <f t="shared" si="25"/>
        <v>10</v>
      </c>
      <c r="F94" s="20">
        <f t="shared" si="25"/>
        <v>40</v>
      </c>
      <c r="G94" s="20">
        <f t="shared" si="25"/>
        <v>30</v>
      </c>
      <c r="H94" s="20">
        <f t="shared" si="25"/>
        <v>0</v>
      </c>
      <c r="I94" s="20">
        <f t="shared" si="25"/>
        <v>20</v>
      </c>
      <c r="J94" s="20">
        <f t="shared" si="25"/>
        <v>25</v>
      </c>
      <c r="K94" s="20">
        <f t="shared" si="25"/>
        <v>25</v>
      </c>
      <c r="L94" s="20">
        <f t="shared" si="25"/>
        <v>20</v>
      </c>
      <c r="M94" s="20">
        <f t="shared" si="25"/>
        <v>40</v>
      </c>
      <c r="N94" s="20">
        <f t="shared" si="25"/>
        <v>55</v>
      </c>
      <c r="O94" s="20">
        <f t="shared" si="25"/>
        <v>25</v>
      </c>
      <c r="P94" s="20">
        <f t="shared" si="25"/>
        <v>30</v>
      </c>
      <c r="Q94" s="20">
        <f t="shared" si="25"/>
        <v>20</v>
      </c>
      <c r="R94" s="20">
        <f t="shared" si="25"/>
        <v>25</v>
      </c>
      <c r="S94" s="20">
        <f t="shared" si="25"/>
        <v>25</v>
      </c>
      <c r="T94" s="20">
        <f t="shared" si="25"/>
        <v>30</v>
      </c>
      <c r="U94" s="20">
        <f t="shared" si="25"/>
        <v>25</v>
      </c>
      <c r="V94" s="20">
        <f t="shared" si="25"/>
        <v>35</v>
      </c>
      <c r="W94" s="20">
        <f t="shared" si="25"/>
        <v>35</v>
      </c>
      <c r="X94" s="20">
        <f t="shared" si="25"/>
        <v>25</v>
      </c>
      <c r="Y94" s="20">
        <f t="shared" si="25"/>
        <v>20</v>
      </c>
      <c r="Z94" s="20">
        <f t="shared" si="25"/>
        <v>20</v>
      </c>
      <c r="AA94" s="20">
        <f t="shared" si="25"/>
        <v>45</v>
      </c>
      <c r="AB94" s="20">
        <f t="shared" si="25"/>
        <v>15</v>
      </c>
      <c r="AC94" s="20">
        <f t="shared" si="25"/>
        <v>30</v>
      </c>
      <c r="AD94" s="20">
        <f t="shared" si="25"/>
        <v>35</v>
      </c>
      <c r="AE94" s="20">
        <f t="shared" si="25"/>
        <v>30</v>
      </c>
      <c r="AF94" s="20">
        <f t="shared" si="25"/>
        <v>15</v>
      </c>
      <c r="AG94" s="20">
        <f t="shared" si="25"/>
        <v>15</v>
      </c>
      <c r="AH94" s="20">
        <f t="shared" si="25"/>
        <v>30</v>
      </c>
      <c r="AI94" s="20">
        <f t="shared" si="25"/>
        <v>30</v>
      </c>
      <c r="AJ94" s="20">
        <f t="shared" si="25"/>
        <v>45</v>
      </c>
      <c r="AK94" s="20">
        <f t="shared" si="25"/>
        <v>20</v>
      </c>
      <c r="AL94" s="36"/>
    </row>
    <row r="95" spans="1:38">
      <c r="A95" s="20" t="s">
        <v>137</v>
      </c>
      <c r="B95" s="20" t="s">
        <v>20</v>
      </c>
      <c r="C95" s="20">
        <f t="shared" ref="C95:AK95" si="26">IF(C57="",C18,C57)</f>
        <v>25</v>
      </c>
      <c r="D95" s="20">
        <f t="shared" si="26"/>
        <v>10</v>
      </c>
      <c r="E95" s="20">
        <f t="shared" si="26"/>
        <v>15</v>
      </c>
      <c r="F95" s="20">
        <f t="shared" si="26"/>
        <v>35</v>
      </c>
      <c r="G95" s="20">
        <f t="shared" si="26"/>
        <v>20</v>
      </c>
      <c r="H95" s="20">
        <f t="shared" si="26"/>
        <v>20</v>
      </c>
      <c r="I95" s="20">
        <f t="shared" si="26"/>
        <v>0</v>
      </c>
      <c r="J95" s="20">
        <f t="shared" si="26"/>
        <v>15</v>
      </c>
      <c r="K95" s="20">
        <f t="shared" si="26"/>
        <v>15</v>
      </c>
      <c r="L95" s="20">
        <f t="shared" si="26"/>
        <v>10</v>
      </c>
      <c r="M95" s="20">
        <f t="shared" si="26"/>
        <v>40</v>
      </c>
      <c r="N95" s="20">
        <f t="shared" si="26"/>
        <v>55</v>
      </c>
      <c r="O95" s="20">
        <f t="shared" si="26"/>
        <v>15</v>
      </c>
      <c r="P95" s="20">
        <f t="shared" si="26"/>
        <v>17.5</v>
      </c>
      <c r="Q95" s="20">
        <f t="shared" si="26"/>
        <v>10</v>
      </c>
      <c r="R95" s="20">
        <f t="shared" si="26"/>
        <v>25</v>
      </c>
      <c r="S95" s="20">
        <f t="shared" si="26"/>
        <v>15</v>
      </c>
      <c r="T95" s="20">
        <f t="shared" si="26"/>
        <v>20</v>
      </c>
      <c r="U95" s="20">
        <f t="shared" si="26"/>
        <v>15</v>
      </c>
      <c r="V95" s="20">
        <f t="shared" si="26"/>
        <v>25</v>
      </c>
      <c r="W95" s="20">
        <f t="shared" si="26"/>
        <v>35</v>
      </c>
      <c r="X95" s="20">
        <f t="shared" si="26"/>
        <v>10</v>
      </c>
      <c r="Y95" s="20">
        <f t="shared" si="26"/>
        <v>10</v>
      </c>
      <c r="Z95" s="20">
        <f t="shared" si="26"/>
        <v>10</v>
      </c>
      <c r="AA95" s="20">
        <f t="shared" si="26"/>
        <v>40</v>
      </c>
      <c r="AB95" s="20">
        <f t="shared" si="26"/>
        <v>20</v>
      </c>
      <c r="AC95" s="20">
        <f t="shared" si="26"/>
        <v>15</v>
      </c>
      <c r="AD95" s="20">
        <f t="shared" si="26"/>
        <v>30</v>
      </c>
      <c r="AE95" s="20">
        <f t="shared" si="26"/>
        <v>17.5</v>
      </c>
      <c r="AF95" s="20">
        <f t="shared" si="26"/>
        <v>30</v>
      </c>
      <c r="AG95" s="20">
        <f t="shared" si="26"/>
        <v>10</v>
      </c>
      <c r="AH95" s="20">
        <f t="shared" si="26"/>
        <v>20</v>
      </c>
      <c r="AI95" s="20">
        <f t="shared" si="26"/>
        <v>30</v>
      </c>
      <c r="AJ95" s="20">
        <f t="shared" si="26"/>
        <v>45</v>
      </c>
      <c r="AK95" s="20">
        <f t="shared" si="26"/>
        <v>20</v>
      </c>
      <c r="AL95" s="36"/>
    </row>
    <row r="96" spans="1:38">
      <c r="A96" s="20" t="s">
        <v>138</v>
      </c>
      <c r="B96" s="20" t="s">
        <v>21</v>
      </c>
      <c r="C96" s="20">
        <f t="shared" ref="C96:AK96" si="27">IF(C58="",C19,C58)</f>
        <v>30</v>
      </c>
      <c r="D96" s="20">
        <f t="shared" si="27"/>
        <v>10</v>
      </c>
      <c r="E96" s="20">
        <f t="shared" si="27"/>
        <v>20</v>
      </c>
      <c r="F96" s="20">
        <f t="shared" si="27"/>
        <v>30</v>
      </c>
      <c r="G96" s="20">
        <f t="shared" si="27"/>
        <v>30</v>
      </c>
      <c r="H96" s="20">
        <f t="shared" si="27"/>
        <v>25</v>
      </c>
      <c r="I96" s="20">
        <f t="shared" si="27"/>
        <v>15</v>
      </c>
      <c r="J96" s="20">
        <f t="shared" si="27"/>
        <v>0</v>
      </c>
      <c r="K96" s="20">
        <f t="shared" si="27"/>
        <v>20</v>
      </c>
      <c r="L96" s="20">
        <f t="shared" si="27"/>
        <v>20</v>
      </c>
      <c r="M96" s="20">
        <f t="shared" si="27"/>
        <v>25</v>
      </c>
      <c r="N96" s="20">
        <f t="shared" si="27"/>
        <v>45</v>
      </c>
      <c r="O96" s="20">
        <f t="shared" si="27"/>
        <v>20</v>
      </c>
      <c r="P96" s="20">
        <f t="shared" si="27"/>
        <v>5</v>
      </c>
      <c r="Q96" s="20">
        <f t="shared" si="27"/>
        <v>17.5</v>
      </c>
      <c r="R96" s="20">
        <f t="shared" si="27"/>
        <v>25</v>
      </c>
      <c r="S96" s="20">
        <f t="shared" si="27"/>
        <v>12.5</v>
      </c>
      <c r="T96" s="20">
        <f t="shared" si="27"/>
        <v>17.5</v>
      </c>
      <c r="U96" s="20">
        <f t="shared" si="27"/>
        <v>12.5</v>
      </c>
      <c r="V96" s="20">
        <f t="shared" si="27"/>
        <v>15</v>
      </c>
      <c r="W96" s="20">
        <f t="shared" si="27"/>
        <v>25</v>
      </c>
      <c r="X96" s="20">
        <f t="shared" si="27"/>
        <v>20</v>
      </c>
      <c r="Y96" s="20">
        <f t="shared" si="27"/>
        <v>17.5</v>
      </c>
      <c r="Z96" s="20">
        <f t="shared" si="27"/>
        <v>17.5</v>
      </c>
      <c r="AA96" s="20">
        <f t="shared" si="27"/>
        <v>35</v>
      </c>
      <c r="AB96" s="20">
        <f t="shared" si="27"/>
        <v>20</v>
      </c>
      <c r="AC96" s="20">
        <f t="shared" si="27"/>
        <v>25</v>
      </c>
      <c r="AD96" s="20">
        <f t="shared" si="27"/>
        <v>25</v>
      </c>
      <c r="AE96" s="20">
        <f t="shared" si="27"/>
        <v>5</v>
      </c>
      <c r="AF96" s="20">
        <f t="shared" si="27"/>
        <v>20</v>
      </c>
      <c r="AG96" s="20">
        <f t="shared" si="27"/>
        <v>15</v>
      </c>
      <c r="AH96" s="20">
        <f t="shared" si="27"/>
        <v>30</v>
      </c>
      <c r="AI96" s="20">
        <f t="shared" si="27"/>
        <v>20</v>
      </c>
      <c r="AJ96" s="20">
        <f t="shared" si="27"/>
        <v>35</v>
      </c>
      <c r="AK96" s="20">
        <f t="shared" si="27"/>
        <v>15</v>
      </c>
      <c r="AL96" s="36"/>
    </row>
    <row r="97" spans="1:38">
      <c r="A97" s="20" t="s">
        <v>139</v>
      </c>
      <c r="B97" s="20" t="s">
        <v>22</v>
      </c>
      <c r="C97" s="20">
        <f t="shared" ref="C97:AK97" si="28">IF(C59="",C20,C59)</f>
        <v>30</v>
      </c>
      <c r="D97" s="20">
        <f t="shared" si="28"/>
        <v>20</v>
      </c>
      <c r="E97" s="20">
        <f t="shared" si="28"/>
        <v>25</v>
      </c>
      <c r="F97" s="20">
        <f t="shared" si="28"/>
        <v>40</v>
      </c>
      <c r="G97" s="20">
        <f t="shared" si="28"/>
        <v>15</v>
      </c>
      <c r="H97" s="20">
        <f t="shared" si="28"/>
        <v>25</v>
      </c>
      <c r="I97" s="20">
        <f t="shared" si="28"/>
        <v>15</v>
      </c>
      <c r="J97" s="20">
        <f t="shared" si="28"/>
        <v>20</v>
      </c>
      <c r="K97" s="20">
        <f t="shared" si="28"/>
        <v>0</v>
      </c>
      <c r="L97" s="20">
        <f t="shared" si="28"/>
        <v>15</v>
      </c>
      <c r="M97" s="20">
        <f t="shared" si="28"/>
        <v>30</v>
      </c>
      <c r="N97" s="20">
        <f t="shared" si="28"/>
        <v>75</v>
      </c>
      <c r="O97" s="20">
        <f t="shared" si="28"/>
        <v>5</v>
      </c>
      <c r="P97" s="20">
        <f t="shared" si="28"/>
        <v>20</v>
      </c>
      <c r="Q97" s="20">
        <f t="shared" si="28"/>
        <v>15</v>
      </c>
      <c r="R97" s="20">
        <f t="shared" si="28"/>
        <v>25</v>
      </c>
      <c r="S97" s="20">
        <f t="shared" si="28"/>
        <v>20</v>
      </c>
      <c r="T97" s="20">
        <f t="shared" si="28"/>
        <v>20</v>
      </c>
      <c r="U97" s="20">
        <f t="shared" si="28"/>
        <v>20</v>
      </c>
      <c r="V97" s="20">
        <f t="shared" si="28"/>
        <v>30</v>
      </c>
      <c r="W97" s="20">
        <f t="shared" si="28"/>
        <v>55</v>
      </c>
      <c r="X97" s="20">
        <f t="shared" si="28"/>
        <v>5</v>
      </c>
      <c r="Y97" s="20">
        <f t="shared" si="28"/>
        <v>15</v>
      </c>
      <c r="Z97" s="20">
        <f t="shared" si="28"/>
        <v>15</v>
      </c>
      <c r="AA97" s="20">
        <f t="shared" si="28"/>
        <v>40</v>
      </c>
      <c r="AB97" s="20">
        <f t="shared" si="28"/>
        <v>15</v>
      </c>
      <c r="AC97" s="20">
        <f t="shared" si="28"/>
        <v>10</v>
      </c>
      <c r="AD97" s="20">
        <f t="shared" si="28"/>
        <v>30</v>
      </c>
      <c r="AE97" s="20">
        <f t="shared" si="28"/>
        <v>20</v>
      </c>
      <c r="AF97" s="20">
        <f t="shared" si="28"/>
        <v>30</v>
      </c>
      <c r="AG97" s="20">
        <f t="shared" si="28"/>
        <v>10</v>
      </c>
      <c r="AH97" s="20">
        <f t="shared" si="28"/>
        <v>25</v>
      </c>
      <c r="AI97" s="20">
        <f t="shared" si="28"/>
        <v>35</v>
      </c>
      <c r="AJ97" s="20">
        <f t="shared" si="28"/>
        <v>65</v>
      </c>
      <c r="AK97" s="20">
        <f t="shared" si="28"/>
        <v>20</v>
      </c>
      <c r="AL97" s="36"/>
    </row>
    <row r="98" spans="1:38">
      <c r="A98" s="20" t="s">
        <v>140</v>
      </c>
      <c r="B98" s="20" t="s">
        <v>23</v>
      </c>
      <c r="C98" s="20">
        <f t="shared" ref="C98:AK98" si="29">IF(C60="",C21,C60)</f>
        <v>20</v>
      </c>
      <c r="D98" s="20">
        <f t="shared" si="29"/>
        <v>15</v>
      </c>
      <c r="E98" s="20">
        <f t="shared" si="29"/>
        <v>15</v>
      </c>
      <c r="F98" s="20">
        <f t="shared" si="29"/>
        <v>40</v>
      </c>
      <c r="G98" s="20">
        <f t="shared" si="29"/>
        <v>20</v>
      </c>
      <c r="H98" s="20">
        <f t="shared" si="29"/>
        <v>20</v>
      </c>
      <c r="I98" s="20">
        <f t="shared" si="29"/>
        <v>10</v>
      </c>
      <c r="J98" s="20">
        <f t="shared" si="29"/>
        <v>20</v>
      </c>
      <c r="K98" s="20">
        <f t="shared" si="29"/>
        <v>15</v>
      </c>
      <c r="L98" s="20">
        <f t="shared" si="29"/>
        <v>0</v>
      </c>
      <c r="M98" s="20">
        <f t="shared" si="29"/>
        <v>40</v>
      </c>
      <c r="N98" s="20">
        <f t="shared" si="29"/>
        <v>55</v>
      </c>
      <c r="O98" s="20">
        <f t="shared" si="29"/>
        <v>15</v>
      </c>
      <c r="P98" s="20">
        <f t="shared" si="29"/>
        <v>15</v>
      </c>
      <c r="Q98" s="20">
        <f t="shared" si="29"/>
        <v>12.5</v>
      </c>
      <c r="R98" s="20">
        <f t="shared" si="29"/>
        <v>25</v>
      </c>
      <c r="S98" s="20">
        <f t="shared" si="29"/>
        <v>20</v>
      </c>
      <c r="T98" s="20">
        <f t="shared" si="29"/>
        <v>25</v>
      </c>
      <c r="U98" s="20">
        <f t="shared" si="29"/>
        <v>20</v>
      </c>
      <c r="V98" s="20">
        <f t="shared" si="29"/>
        <v>30</v>
      </c>
      <c r="W98" s="20">
        <f t="shared" si="29"/>
        <v>35</v>
      </c>
      <c r="X98" s="20">
        <f t="shared" si="29"/>
        <v>15</v>
      </c>
      <c r="Y98" s="20">
        <f t="shared" si="29"/>
        <v>12.5</v>
      </c>
      <c r="Z98" s="20">
        <f t="shared" si="29"/>
        <v>12.5</v>
      </c>
      <c r="AA98" s="20">
        <f t="shared" si="29"/>
        <v>40</v>
      </c>
      <c r="AB98" s="20">
        <f t="shared" si="29"/>
        <v>15</v>
      </c>
      <c r="AC98" s="20">
        <f t="shared" si="29"/>
        <v>20</v>
      </c>
      <c r="AD98" s="20">
        <f t="shared" si="29"/>
        <v>30</v>
      </c>
      <c r="AE98" s="20">
        <f t="shared" si="29"/>
        <v>15</v>
      </c>
      <c r="AF98" s="20">
        <f t="shared" si="29"/>
        <v>20</v>
      </c>
      <c r="AG98" s="20">
        <f t="shared" si="29"/>
        <v>10</v>
      </c>
      <c r="AH98" s="20">
        <f t="shared" si="29"/>
        <v>30</v>
      </c>
      <c r="AI98" s="20">
        <f t="shared" si="29"/>
        <v>30</v>
      </c>
      <c r="AJ98" s="20">
        <f t="shared" si="29"/>
        <v>45</v>
      </c>
      <c r="AK98" s="20">
        <f t="shared" si="29"/>
        <v>5</v>
      </c>
      <c r="AL98" s="36"/>
    </row>
    <row r="99" spans="1:38">
      <c r="A99" s="20" t="s">
        <v>141</v>
      </c>
      <c r="B99" s="20" t="s">
        <v>25</v>
      </c>
      <c r="C99" s="20">
        <f t="shared" ref="C99:AK99" si="30">IF(C61="",C22,C61)</f>
        <v>40</v>
      </c>
      <c r="D99" s="20">
        <f t="shared" si="30"/>
        <v>40</v>
      </c>
      <c r="E99" s="20">
        <f t="shared" si="30"/>
        <v>40</v>
      </c>
      <c r="F99" s="20">
        <f t="shared" si="30"/>
        <v>15</v>
      </c>
      <c r="G99" s="20">
        <f t="shared" si="30"/>
        <v>50</v>
      </c>
      <c r="H99" s="20">
        <f t="shared" si="30"/>
        <v>40</v>
      </c>
      <c r="I99" s="20">
        <f t="shared" si="30"/>
        <v>40</v>
      </c>
      <c r="J99" s="20">
        <f t="shared" si="30"/>
        <v>25</v>
      </c>
      <c r="K99" s="20">
        <f t="shared" si="30"/>
        <v>30</v>
      </c>
      <c r="L99" s="20">
        <f t="shared" si="30"/>
        <v>40</v>
      </c>
      <c r="M99" s="20">
        <f t="shared" si="30"/>
        <v>0</v>
      </c>
      <c r="N99" s="20">
        <f t="shared" si="30"/>
        <v>30</v>
      </c>
      <c r="O99" s="20">
        <f t="shared" si="30"/>
        <v>45</v>
      </c>
      <c r="P99" s="20">
        <f t="shared" si="30"/>
        <v>25</v>
      </c>
      <c r="Q99" s="20">
        <f t="shared" si="30"/>
        <v>45</v>
      </c>
      <c r="R99" s="20">
        <f t="shared" si="30"/>
        <v>50</v>
      </c>
      <c r="S99" s="20">
        <f t="shared" si="30"/>
        <v>35</v>
      </c>
      <c r="T99" s="20">
        <f t="shared" si="30"/>
        <v>40</v>
      </c>
      <c r="U99" s="20">
        <f t="shared" si="30"/>
        <v>35</v>
      </c>
      <c r="V99" s="20">
        <f t="shared" si="30"/>
        <v>40</v>
      </c>
      <c r="W99" s="20">
        <f t="shared" si="30"/>
        <v>15</v>
      </c>
      <c r="X99" s="20">
        <f t="shared" si="30"/>
        <v>45</v>
      </c>
      <c r="Y99" s="20">
        <f t="shared" si="30"/>
        <v>45</v>
      </c>
      <c r="Z99" s="20">
        <f t="shared" si="30"/>
        <v>45</v>
      </c>
      <c r="AA99" s="20">
        <f t="shared" si="30"/>
        <v>60</v>
      </c>
      <c r="AB99" s="20">
        <f t="shared" si="30"/>
        <v>45</v>
      </c>
      <c r="AC99" s="20">
        <f t="shared" si="30"/>
        <v>50</v>
      </c>
      <c r="AD99" s="20">
        <f t="shared" si="30"/>
        <v>50</v>
      </c>
      <c r="AE99" s="20">
        <f t="shared" si="30"/>
        <v>25</v>
      </c>
      <c r="AF99" s="20">
        <f t="shared" si="30"/>
        <v>50</v>
      </c>
      <c r="AG99" s="20">
        <f t="shared" si="30"/>
        <v>40</v>
      </c>
      <c r="AH99" s="20">
        <f t="shared" si="30"/>
        <v>35</v>
      </c>
      <c r="AI99" s="20">
        <f t="shared" si="30"/>
        <v>30</v>
      </c>
      <c r="AJ99" s="20">
        <f t="shared" si="30"/>
        <v>20</v>
      </c>
      <c r="AK99" s="20">
        <f t="shared" si="30"/>
        <v>40</v>
      </c>
      <c r="AL99" s="36"/>
    </row>
    <row r="100" spans="1:38">
      <c r="A100" s="20" t="s">
        <v>142</v>
      </c>
      <c r="B100" s="20" t="s">
        <v>27</v>
      </c>
      <c r="C100" s="20">
        <f t="shared" ref="C100:AK100" si="31">IF(C62="",C23,C62)</f>
        <v>75</v>
      </c>
      <c r="D100" s="20">
        <f t="shared" si="31"/>
        <v>65</v>
      </c>
      <c r="E100" s="20">
        <f t="shared" si="31"/>
        <v>75</v>
      </c>
      <c r="F100" s="20">
        <f t="shared" si="31"/>
        <v>55</v>
      </c>
      <c r="G100" s="20">
        <f t="shared" si="31"/>
        <v>80</v>
      </c>
      <c r="H100" s="20">
        <f t="shared" si="31"/>
        <v>55</v>
      </c>
      <c r="I100" s="20">
        <f t="shared" si="31"/>
        <v>55</v>
      </c>
      <c r="J100" s="20">
        <f t="shared" si="31"/>
        <v>45</v>
      </c>
      <c r="K100" s="20">
        <f t="shared" si="31"/>
        <v>75</v>
      </c>
      <c r="L100" s="20">
        <f t="shared" si="31"/>
        <v>55</v>
      </c>
      <c r="M100" s="20">
        <f t="shared" si="31"/>
        <v>30</v>
      </c>
      <c r="N100" s="20">
        <f t="shared" si="31"/>
        <v>0</v>
      </c>
      <c r="O100" s="20">
        <f t="shared" si="31"/>
        <v>60</v>
      </c>
      <c r="P100" s="20">
        <f t="shared" si="31"/>
        <v>45</v>
      </c>
      <c r="Q100" s="20">
        <f t="shared" si="31"/>
        <v>50</v>
      </c>
      <c r="R100" s="20">
        <f t="shared" si="31"/>
        <v>70</v>
      </c>
      <c r="S100" s="20">
        <f t="shared" si="31"/>
        <v>45</v>
      </c>
      <c r="T100" s="20">
        <f t="shared" si="31"/>
        <v>50</v>
      </c>
      <c r="U100" s="20">
        <f t="shared" si="31"/>
        <v>45</v>
      </c>
      <c r="V100" s="20">
        <f t="shared" si="31"/>
        <v>45</v>
      </c>
      <c r="W100" s="20">
        <f t="shared" si="31"/>
        <v>10</v>
      </c>
      <c r="X100" s="20">
        <f t="shared" si="31"/>
        <v>60</v>
      </c>
      <c r="Y100" s="20">
        <f t="shared" si="31"/>
        <v>50</v>
      </c>
      <c r="Z100" s="20">
        <f t="shared" si="31"/>
        <v>50</v>
      </c>
      <c r="AA100" s="20">
        <f t="shared" si="31"/>
        <v>80</v>
      </c>
      <c r="AB100" s="20">
        <f t="shared" si="31"/>
        <v>55</v>
      </c>
      <c r="AC100" s="20">
        <f t="shared" si="31"/>
        <v>65</v>
      </c>
      <c r="AD100" s="20">
        <f t="shared" si="31"/>
        <v>70</v>
      </c>
      <c r="AE100" s="20">
        <f t="shared" si="31"/>
        <v>45</v>
      </c>
      <c r="AF100" s="20">
        <f t="shared" si="31"/>
        <v>55</v>
      </c>
      <c r="AG100" s="20">
        <f t="shared" si="31"/>
        <v>50</v>
      </c>
      <c r="AH100" s="20">
        <f t="shared" si="31"/>
        <v>50</v>
      </c>
      <c r="AI100" s="20">
        <f t="shared" si="31"/>
        <v>40</v>
      </c>
      <c r="AJ100" s="20">
        <f t="shared" si="31"/>
        <v>15</v>
      </c>
      <c r="AK100" s="20">
        <f t="shared" si="31"/>
        <v>50</v>
      </c>
      <c r="AL100" s="36"/>
    </row>
    <row r="101" spans="1:38">
      <c r="A101" s="20" t="s">
        <v>143</v>
      </c>
      <c r="B101" s="20" t="s">
        <v>28</v>
      </c>
      <c r="C101" s="20">
        <f t="shared" ref="C101:AK101" si="32">IF(C63="",C24,C63)</f>
        <v>30</v>
      </c>
      <c r="D101" s="20">
        <f t="shared" si="32"/>
        <v>25</v>
      </c>
      <c r="E101" s="20">
        <f t="shared" si="32"/>
        <v>25</v>
      </c>
      <c r="F101" s="20">
        <f t="shared" si="32"/>
        <v>40</v>
      </c>
      <c r="G101" s="20">
        <f t="shared" si="32"/>
        <v>15</v>
      </c>
      <c r="H101" s="20">
        <f t="shared" si="32"/>
        <v>25</v>
      </c>
      <c r="I101" s="20">
        <f t="shared" si="32"/>
        <v>15</v>
      </c>
      <c r="J101" s="20">
        <f t="shared" si="32"/>
        <v>20</v>
      </c>
      <c r="K101" s="20">
        <f t="shared" si="32"/>
        <v>5</v>
      </c>
      <c r="L101" s="20">
        <f t="shared" si="32"/>
        <v>15</v>
      </c>
      <c r="M101" s="20">
        <f t="shared" si="32"/>
        <v>45</v>
      </c>
      <c r="N101" s="20">
        <f t="shared" si="32"/>
        <v>60</v>
      </c>
      <c r="O101" s="20">
        <f t="shared" si="32"/>
        <v>0</v>
      </c>
      <c r="P101" s="20">
        <f t="shared" si="32"/>
        <v>25</v>
      </c>
      <c r="Q101" s="20">
        <f t="shared" si="32"/>
        <v>20</v>
      </c>
      <c r="R101" s="20">
        <f t="shared" si="32"/>
        <v>35</v>
      </c>
      <c r="S101" s="20">
        <f t="shared" si="32"/>
        <v>20</v>
      </c>
      <c r="T101" s="20">
        <f t="shared" si="32"/>
        <v>20</v>
      </c>
      <c r="U101" s="20">
        <f t="shared" si="32"/>
        <v>20</v>
      </c>
      <c r="V101" s="20">
        <f t="shared" si="32"/>
        <v>35</v>
      </c>
      <c r="W101" s="20">
        <f t="shared" si="32"/>
        <v>45</v>
      </c>
      <c r="X101" s="20">
        <f t="shared" si="32"/>
        <v>5</v>
      </c>
      <c r="Y101" s="20">
        <f t="shared" si="32"/>
        <v>20</v>
      </c>
      <c r="Z101" s="20">
        <f t="shared" si="32"/>
        <v>20</v>
      </c>
      <c r="AA101" s="20">
        <f t="shared" si="32"/>
        <v>40</v>
      </c>
      <c r="AB101" s="20">
        <f t="shared" si="32"/>
        <v>20</v>
      </c>
      <c r="AC101" s="20">
        <f t="shared" si="32"/>
        <v>10</v>
      </c>
      <c r="AD101" s="20">
        <f t="shared" si="32"/>
        <v>30</v>
      </c>
      <c r="AE101" s="20">
        <f t="shared" si="32"/>
        <v>25</v>
      </c>
      <c r="AF101" s="20">
        <f t="shared" si="32"/>
        <v>35</v>
      </c>
      <c r="AG101" s="20">
        <f t="shared" si="32"/>
        <v>15</v>
      </c>
      <c r="AH101" s="20">
        <f t="shared" si="32"/>
        <v>25</v>
      </c>
      <c r="AI101" s="20">
        <f t="shared" si="32"/>
        <v>40</v>
      </c>
      <c r="AJ101" s="20">
        <f t="shared" si="32"/>
        <v>55</v>
      </c>
      <c r="AK101" s="20">
        <f t="shared" si="32"/>
        <v>25</v>
      </c>
      <c r="AL101" s="36"/>
    </row>
    <row r="102" spans="1:38">
      <c r="A102" s="20" t="s">
        <v>144</v>
      </c>
      <c r="B102" s="20" t="s">
        <v>29</v>
      </c>
      <c r="C102" s="20">
        <f t="shared" ref="C102:AK102" si="33">IF(C64="",C25,C64)</f>
        <v>25</v>
      </c>
      <c r="D102" s="20">
        <f t="shared" si="33"/>
        <v>5</v>
      </c>
      <c r="E102" s="20">
        <f t="shared" si="33"/>
        <v>25</v>
      </c>
      <c r="F102" s="20">
        <f t="shared" si="33"/>
        <v>40</v>
      </c>
      <c r="G102" s="20">
        <f t="shared" si="33"/>
        <v>35</v>
      </c>
      <c r="H102" s="20">
        <f t="shared" si="33"/>
        <v>30</v>
      </c>
      <c r="I102" s="20">
        <f t="shared" si="33"/>
        <v>17.5</v>
      </c>
      <c r="J102" s="20">
        <f t="shared" si="33"/>
        <v>5</v>
      </c>
      <c r="K102" s="20">
        <f t="shared" si="33"/>
        <v>20</v>
      </c>
      <c r="L102" s="20">
        <f t="shared" si="33"/>
        <v>15</v>
      </c>
      <c r="M102" s="20">
        <f t="shared" si="33"/>
        <v>25</v>
      </c>
      <c r="N102" s="20">
        <f t="shared" si="33"/>
        <v>45</v>
      </c>
      <c r="O102" s="20">
        <f t="shared" si="33"/>
        <v>25</v>
      </c>
      <c r="P102" s="20">
        <f t="shared" si="33"/>
        <v>0</v>
      </c>
      <c r="Q102" s="20">
        <f t="shared" si="33"/>
        <v>15</v>
      </c>
      <c r="R102" s="20">
        <f t="shared" si="33"/>
        <v>30</v>
      </c>
      <c r="S102" s="20">
        <f t="shared" si="33"/>
        <v>10</v>
      </c>
      <c r="T102" s="20">
        <f t="shared" si="33"/>
        <v>17.5</v>
      </c>
      <c r="U102" s="20">
        <f t="shared" si="33"/>
        <v>10</v>
      </c>
      <c r="V102" s="20">
        <f t="shared" si="33"/>
        <v>20</v>
      </c>
      <c r="W102" s="20">
        <f t="shared" si="33"/>
        <v>30</v>
      </c>
      <c r="X102" s="20">
        <f t="shared" si="33"/>
        <v>20</v>
      </c>
      <c r="Y102" s="20">
        <f t="shared" si="33"/>
        <v>15</v>
      </c>
      <c r="Z102" s="20">
        <f t="shared" si="33"/>
        <v>15</v>
      </c>
      <c r="AA102" s="20">
        <f t="shared" si="33"/>
        <v>35</v>
      </c>
      <c r="AB102" s="20">
        <f t="shared" si="33"/>
        <v>15</v>
      </c>
      <c r="AC102" s="20">
        <f t="shared" si="33"/>
        <v>25</v>
      </c>
      <c r="AD102" s="20">
        <f t="shared" si="33"/>
        <v>25</v>
      </c>
      <c r="AE102" s="20">
        <f t="shared" si="33"/>
        <v>10</v>
      </c>
      <c r="AF102" s="20">
        <f t="shared" si="33"/>
        <v>20</v>
      </c>
      <c r="AG102" s="20">
        <f t="shared" si="33"/>
        <v>12.5</v>
      </c>
      <c r="AH102" s="20">
        <f t="shared" si="33"/>
        <v>30</v>
      </c>
      <c r="AI102" s="20">
        <f t="shared" si="33"/>
        <v>25</v>
      </c>
      <c r="AJ102" s="20">
        <f t="shared" si="33"/>
        <v>40</v>
      </c>
      <c r="AK102" s="20">
        <f t="shared" si="33"/>
        <v>15</v>
      </c>
      <c r="AL102" s="36"/>
    </row>
    <row r="103" spans="1:38">
      <c r="A103" s="20" t="s">
        <v>145</v>
      </c>
      <c r="B103" s="20" t="s">
        <v>61</v>
      </c>
      <c r="C103" s="20">
        <f t="shared" ref="C103:AK103" si="34">IF(C65="",C26,C65)</f>
        <v>20</v>
      </c>
      <c r="D103" s="20">
        <f t="shared" si="34"/>
        <v>20</v>
      </c>
      <c r="E103" s="20">
        <f t="shared" si="34"/>
        <v>15</v>
      </c>
      <c r="F103" s="20">
        <f t="shared" si="34"/>
        <v>40</v>
      </c>
      <c r="G103" s="20">
        <f t="shared" si="34"/>
        <v>10</v>
      </c>
      <c r="H103" s="20">
        <f t="shared" si="34"/>
        <v>20</v>
      </c>
      <c r="I103" s="20">
        <f t="shared" si="34"/>
        <v>10</v>
      </c>
      <c r="J103" s="20">
        <f t="shared" si="34"/>
        <v>17.5</v>
      </c>
      <c r="K103" s="20">
        <f t="shared" si="34"/>
        <v>15</v>
      </c>
      <c r="L103" s="20">
        <f t="shared" si="34"/>
        <v>12.5</v>
      </c>
      <c r="M103" s="20">
        <f t="shared" si="34"/>
        <v>45</v>
      </c>
      <c r="N103" s="20">
        <f t="shared" si="34"/>
        <v>50</v>
      </c>
      <c r="O103" s="20">
        <f t="shared" si="34"/>
        <v>20</v>
      </c>
      <c r="P103" s="20">
        <f t="shared" si="34"/>
        <v>15</v>
      </c>
      <c r="Q103" s="20">
        <f t="shared" si="34"/>
        <v>0</v>
      </c>
      <c r="R103" s="20">
        <f t="shared" si="34"/>
        <v>15</v>
      </c>
      <c r="S103" s="20">
        <f t="shared" si="34"/>
        <v>20</v>
      </c>
      <c r="T103" s="20">
        <f t="shared" si="34"/>
        <v>30</v>
      </c>
      <c r="U103" s="20">
        <f t="shared" si="34"/>
        <v>20</v>
      </c>
      <c r="V103" s="20">
        <f t="shared" si="34"/>
        <v>30</v>
      </c>
      <c r="W103" s="20">
        <f t="shared" si="34"/>
        <v>35</v>
      </c>
      <c r="X103" s="20">
        <f t="shared" si="34"/>
        <v>17.5</v>
      </c>
      <c r="Y103" s="20">
        <f t="shared" si="34"/>
        <v>5</v>
      </c>
      <c r="Z103" s="20">
        <f t="shared" si="34"/>
        <v>5</v>
      </c>
      <c r="AA103" s="20">
        <f t="shared" si="34"/>
        <v>45</v>
      </c>
      <c r="AB103" s="20">
        <f t="shared" si="34"/>
        <v>5</v>
      </c>
      <c r="AC103" s="20">
        <f t="shared" si="34"/>
        <v>22.5</v>
      </c>
      <c r="AD103" s="20">
        <f t="shared" si="34"/>
        <v>35</v>
      </c>
      <c r="AE103" s="20">
        <f t="shared" si="34"/>
        <v>20</v>
      </c>
      <c r="AF103" s="20">
        <f t="shared" si="34"/>
        <v>15</v>
      </c>
      <c r="AG103" s="20">
        <f t="shared" si="34"/>
        <v>15</v>
      </c>
      <c r="AH103" s="20">
        <f t="shared" si="34"/>
        <v>30</v>
      </c>
      <c r="AI103" s="20">
        <f t="shared" si="34"/>
        <v>35</v>
      </c>
      <c r="AJ103" s="20">
        <f t="shared" si="34"/>
        <v>45</v>
      </c>
      <c r="AK103" s="20">
        <f t="shared" si="34"/>
        <v>12.5</v>
      </c>
      <c r="AL103" s="36"/>
    </row>
    <row r="104" spans="1:38">
      <c r="A104" s="20" t="s">
        <v>146</v>
      </c>
      <c r="B104" s="20" t="s">
        <v>31</v>
      </c>
      <c r="C104" s="20">
        <f t="shared" ref="C104:AK104" si="35">IF(C66="",C27,C66)</f>
        <v>30</v>
      </c>
      <c r="D104" s="20">
        <f t="shared" si="35"/>
        <v>25</v>
      </c>
      <c r="E104" s="20">
        <f t="shared" si="35"/>
        <v>15</v>
      </c>
      <c r="F104" s="20">
        <f t="shared" si="35"/>
        <v>50</v>
      </c>
      <c r="G104" s="20">
        <f t="shared" si="35"/>
        <v>15</v>
      </c>
      <c r="H104" s="20">
        <f t="shared" si="35"/>
        <v>25</v>
      </c>
      <c r="I104" s="20">
        <f t="shared" si="35"/>
        <v>25</v>
      </c>
      <c r="J104" s="20">
        <f t="shared" si="35"/>
        <v>25</v>
      </c>
      <c r="K104" s="20">
        <f t="shared" si="35"/>
        <v>25</v>
      </c>
      <c r="L104" s="20">
        <f t="shared" si="35"/>
        <v>25</v>
      </c>
      <c r="M104" s="20">
        <f t="shared" si="35"/>
        <v>50</v>
      </c>
      <c r="N104" s="20">
        <f t="shared" si="35"/>
        <v>70</v>
      </c>
      <c r="O104" s="20">
        <f t="shared" si="35"/>
        <v>35</v>
      </c>
      <c r="P104" s="20">
        <f t="shared" si="35"/>
        <v>30</v>
      </c>
      <c r="Q104" s="20">
        <f t="shared" si="35"/>
        <v>15</v>
      </c>
      <c r="R104" s="20">
        <f t="shared" si="35"/>
        <v>0</v>
      </c>
      <c r="S104" s="20">
        <f t="shared" si="35"/>
        <v>25</v>
      </c>
      <c r="T104" s="20">
        <f t="shared" si="35"/>
        <v>35</v>
      </c>
      <c r="U104" s="20">
        <f t="shared" si="35"/>
        <v>25</v>
      </c>
      <c r="V104" s="20">
        <f t="shared" si="35"/>
        <v>35</v>
      </c>
      <c r="W104" s="20">
        <f t="shared" si="35"/>
        <v>50</v>
      </c>
      <c r="X104" s="20">
        <f t="shared" si="35"/>
        <v>25</v>
      </c>
      <c r="Y104" s="20">
        <f t="shared" si="35"/>
        <v>15</v>
      </c>
      <c r="Z104" s="20">
        <f t="shared" si="35"/>
        <v>15</v>
      </c>
      <c r="AA104" s="20">
        <f t="shared" si="35"/>
        <v>50</v>
      </c>
      <c r="AB104" s="20">
        <f t="shared" si="35"/>
        <v>10</v>
      </c>
      <c r="AC104" s="20">
        <f t="shared" si="35"/>
        <v>30</v>
      </c>
      <c r="AD104" s="20">
        <f t="shared" si="35"/>
        <v>40</v>
      </c>
      <c r="AE104" s="20">
        <f t="shared" si="35"/>
        <v>30</v>
      </c>
      <c r="AF104" s="20">
        <f t="shared" si="35"/>
        <v>25</v>
      </c>
      <c r="AG104" s="20">
        <f t="shared" si="35"/>
        <v>25</v>
      </c>
      <c r="AH104" s="20">
        <f t="shared" si="35"/>
        <v>40</v>
      </c>
      <c r="AI104" s="20">
        <f t="shared" si="35"/>
        <v>35</v>
      </c>
      <c r="AJ104" s="20">
        <f t="shared" si="35"/>
        <v>60</v>
      </c>
      <c r="AK104" s="20">
        <f t="shared" si="35"/>
        <v>20</v>
      </c>
      <c r="AL104" s="36"/>
    </row>
    <row r="105" spans="1:38">
      <c r="A105" s="20" t="s">
        <v>147</v>
      </c>
      <c r="B105" s="20" t="s">
        <v>33</v>
      </c>
      <c r="C105" s="20">
        <f t="shared" ref="C105:AK105" si="36">IF(C67="",C28,C67)</f>
        <v>30</v>
      </c>
      <c r="D105" s="20">
        <f t="shared" si="36"/>
        <v>20</v>
      </c>
      <c r="E105" s="20">
        <f t="shared" si="36"/>
        <v>25</v>
      </c>
      <c r="F105" s="20">
        <f t="shared" si="36"/>
        <v>20</v>
      </c>
      <c r="G105" s="20">
        <f t="shared" si="36"/>
        <v>30</v>
      </c>
      <c r="H105" s="20">
        <f t="shared" si="36"/>
        <v>25</v>
      </c>
      <c r="I105" s="20">
        <f t="shared" si="36"/>
        <v>15</v>
      </c>
      <c r="J105" s="20">
        <f t="shared" si="36"/>
        <v>12.5</v>
      </c>
      <c r="K105" s="20">
        <f t="shared" si="36"/>
        <v>20</v>
      </c>
      <c r="L105" s="20">
        <f t="shared" si="36"/>
        <v>20</v>
      </c>
      <c r="M105" s="20">
        <f t="shared" si="36"/>
        <v>35</v>
      </c>
      <c r="N105" s="20">
        <f t="shared" si="36"/>
        <v>45</v>
      </c>
      <c r="O105" s="20">
        <f t="shared" si="36"/>
        <v>20</v>
      </c>
      <c r="P105" s="20">
        <f t="shared" si="36"/>
        <v>10</v>
      </c>
      <c r="Q105" s="20">
        <f t="shared" si="36"/>
        <v>20</v>
      </c>
      <c r="R105" s="20">
        <f t="shared" si="36"/>
        <v>25</v>
      </c>
      <c r="S105" s="20">
        <f t="shared" si="36"/>
        <v>0</v>
      </c>
      <c r="T105" s="20">
        <f t="shared" si="36"/>
        <v>10</v>
      </c>
      <c r="U105" s="20">
        <f t="shared" si="36"/>
        <v>5</v>
      </c>
      <c r="V105" s="20">
        <f t="shared" si="36"/>
        <v>15</v>
      </c>
      <c r="W105" s="20">
        <f t="shared" si="36"/>
        <v>35</v>
      </c>
      <c r="X105" s="20">
        <f t="shared" si="36"/>
        <v>25</v>
      </c>
      <c r="Y105" s="20">
        <f t="shared" si="36"/>
        <v>20</v>
      </c>
      <c r="Z105" s="20">
        <f t="shared" si="36"/>
        <v>20</v>
      </c>
      <c r="AA105" s="20">
        <f t="shared" si="36"/>
        <v>30</v>
      </c>
      <c r="AB105" s="20">
        <f t="shared" si="36"/>
        <v>20</v>
      </c>
      <c r="AC105" s="20">
        <f t="shared" si="36"/>
        <v>30</v>
      </c>
      <c r="AD105" s="20">
        <f t="shared" si="36"/>
        <v>20</v>
      </c>
      <c r="AE105" s="20">
        <f t="shared" si="36"/>
        <v>15</v>
      </c>
      <c r="AF105" s="20">
        <f t="shared" si="36"/>
        <v>30</v>
      </c>
      <c r="AG105" s="20">
        <f t="shared" si="36"/>
        <v>15</v>
      </c>
      <c r="AH105" s="20">
        <f t="shared" si="36"/>
        <v>25</v>
      </c>
      <c r="AI105" s="20">
        <f t="shared" si="36"/>
        <v>25</v>
      </c>
      <c r="AJ105" s="20">
        <f t="shared" si="36"/>
        <v>45</v>
      </c>
      <c r="AK105" s="20">
        <f t="shared" si="36"/>
        <v>25</v>
      </c>
      <c r="AL105" s="36"/>
    </row>
    <row r="106" spans="1:38">
      <c r="A106" s="20" t="s">
        <v>148</v>
      </c>
      <c r="B106" s="20" t="s">
        <v>34</v>
      </c>
      <c r="C106" s="20">
        <f t="shared" ref="C106:AK106" si="37">IF(C68="",C29,C68)</f>
        <v>35</v>
      </c>
      <c r="D106" s="20">
        <f t="shared" si="37"/>
        <v>25</v>
      </c>
      <c r="E106" s="20">
        <f t="shared" si="37"/>
        <v>30</v>
      </c>
      <c r="F106" s="20">
        <f t="shared" si="37"/>
        <v>30</v>
      </c>
      <c r="G106" s="20">
        <f t="shared" si="37"/>
        <v>30</v>
      </c>
      <c r="H106" s="20">
        <f t="shared" si="37"/>
        <v>30</v>
      </c>
      <c r="I106" s="20">
        <f t="shared" si="37"/>
        <v>20</v>
      </c>
      <c r="J106" s="20">
        <f t="shared" si="37"/>
        <v>17.5</v>
      </c>
      <c r="K106" s="20">
        <f t="shared" si="37"/>
        <v>20</v>
      </c>
      <c r="L106" s="20">
        <f t="shared" si="37"/>
        <v>25</v>
      </c>
      <c r="M106" s="20">
        <f t="shared" si="37"/>
        <v>40</v>
      </c>
      <c r="N106" s="20">
        <f t="shared" si="37"/>
        <v>50</v>
      </c>
      <c r="O106" s="20">
        <f t="shared" si="37"/>
        <v>20</v>
      </c>
      <c r="P106" s="20">
        <f t="shared" si="37"/>
        <v>17.5</v>
      </c>
      <c r="Q106" s="20">
        <f t="shared" si="37"/>
        <v>30</v>
      </c>
      <c r="R106" s="20">
        <f t="shared" si="37"/>
        <v>35</v>
      </c>
      <c r="S106" s="20">
        <f t="shared" si="37"/>
        <v>10</v>
      </c>
      <c r="T106" s="20">
        <f t="shared" si="37"/>
        <v>0</v>
      </c>
      <c r="U106" s="20">
        <f t="shared" si="37"/>
        <v>10</v>
      </c>
      <c r="V106" s="20">
        <f t="shared" si="37"/>
        <v>20</v>
      </c>
      <c r="W106" s="20">
        <f t="shared" si="37"/>
        <v>40</v>
      </c>
      <c r="X106" s="20">
        <f t="shared" si="37"/>
        <v>20</v>
      </c>
      <c r="Y106" s="20">
        <f t="shared" si="37"/>
        <v>20</v>
      </c>
      <c r="Z106" s="20">
        <f t="shared" si="37"/>
        <v>20</v>
      </c>
      <c r="AA106" s="20">
        <f t="shared" si="37"/>
        <v>30</v>
      </c>
      <c r="AB106" s="20">
        <f t="shared" si="37"/>
        <v>20</v>
      </c>
      <c r="AC106" s="20">
        <f t="shared" si="37"/>
        <v>25</v>
      </c>
      <c r="AD106" s="20">
        <f t="shared" si="37"/>
        <v>20</v>
      </c>
      <c r="AE106" s="20">
        <f t="shared" si="37"/>
        <v>15</v>
      </c>
      <c r="AF106" s="20">
        <f t="shared" si="37"/>
        <v>30</v>
      </c>
      <c r="AG106" s="20">
        <f t="shared" si="37"/>
        <v>15</v>
      </c>
      <c r="AH106" s="20">
        <f t="shared" si="37"/>
        <v>15</v>
      </c>
      <c r="AI106" s="20">
        <f t="shared" si="37"/>
        <v>30</v>
      </c>
      <c r="AJ106" s="20">
        <f t="shared" si="37"/>
        <v>50</v>
      </c>
      <c r="AK106" s="20">
        <f t="shared" si="37"/>
        <v>30</v>
      </c>
      <c r="AL106" s="36"/>
    </row>
    <row r="107" spans="1:38">
      <c r="A107" s="20" t="s">
        <v>149</v>
      </c>
      <c r="B107" s="20" t="s">
        <v>35</v>
      </c>
      <c r="C107" s="20">
        <f t="shared" ref="C107:AK107" si="38">IF(C69="",C30,C69)</f>
        <v>30</v>
      </c>
      <c r="D107" s="20">
        <f t="shared" si="38"/>
        <v>20</v>
      </c>
      <c r="E107" s="20">
        <f t="shared" si="38"/>
        <v>25</v>
      </c>
      <c r="F107" s="20">
        <f t="shared" si="38"/>
        <v>20</v>
      </c>
      <c r="G107" s="20">
        <f t="shared" si="38"/>
        <v>30</v>
      </c>
      <c r="H107" s="20">
        <f t="shared" si="38"/>
        <v>25</v>
      </c>
      <c r="I107" s="20">
        <f t="shared" si="38"/>
        <v>15</v>
      </c>
      <c r="J107" s="20">
        <f t="shared" si="38"/>
        <v>12.5</v>
      </c>
      <c r="K107" s="20">
        <f t="shared" si="38"/>
        <v>20</v>
      </c>
      <c r="L107" s="20">
        <f t="shared" si="38"/>
        <v>20</v>
      </c>
      <c r="M107" s="20">
        <f t="shared" si="38"/>
        <v>35</v>
      </c>
      <c r="N107" s="20">
        <f t="shared" si="38"/>
        <v>45</v>
      </c>
      <c r="O107" s="20">
        <f t="shared" si="38"/>
        <v>20</v>
      </c>
      <c r="P107" s="20">
        <f t="shared" si="38"/>
        <v>10</v>
      </c>
      <c r="Q107" s="20">
        <f t="shared" si="38"/>
        <v>20</v>
      </c>
      <c r="R107" s="20">
        <f t="shared" si="38"/>
        <v>25</v>
      </c>
      <c r="S107" s="20">
        <f t="shared" si="38"/>
        <v>5</v>
      </c>
      <c r="T107" s="20">
        <f t="shared" si="38"/>
        <v>10</v>
      </c>
      <c r="U107" s="20">
        <f t="shared" si="38"/>
        <v>0</v>
      </c>
      <c r="V107" s="20">
        <f t="shared" si="38"/>
        <v>15</v>
      </c>
      <c r="W107" s="20">
        <f t="shared" si="38"/>
        <v>25</v>
      </c>
      <c r="X107" s="20">
        <f t="shared" si="38"/>
        <v>25</v>
      </c>
      <c r="Y107" s="20">
        <f t="shared" si="38"/>
        <v>20</v>
      </c>
      <c r="Z107" s="20">
        <f t="shared" si="38"/>
        <v>20</v>
      </c>
      <c r="AA107" s="20">
        <f t="shared" si="38"/>
        <v>40</v>
      </c>
      <c r="AB107" s="20">
        <f t="shared" si="38"/>
        <v>20</v>
      </c>
      <c r="AC107" s="20">
        <f t="shared" si="38"/>
        <v>30</v>
      </c>
      <c r="AD107" s="20">
        <f t="shared" si="38"/>
        <v>30</v>
      </c>
      <c r="AE107" s="20">
        <f t="shared" si="38"/>
        <v>15</v>
      </c>
      <c r="AF107" s="20">
        <f t="shared" si="38"/>
        <v>30</v>
      </c>
      <c r="AG107" s="20">
        <f t="shared" si="38"/>
        <v>15</v>
      </c>
      <c r="AH107" s="20">
        <f t="shared" si="38"/>
        <v>30</v>
      </c>
      <c r="AI107" s="20">
        <f t="shared" si="38"/>
        <v>25</v>
      </c>
      <c r="AJ107" s="20">
        <f t="shared" si="38"/>
        <v>35</v>
      </c>
      <c r="AK107" s="20">
        <f t="shared" si="38"/>
        <v>20</v>
      </c>
      <c r="AL107" s="36"/>
    </row>
    <row r="108" spans="1:38">
      <c r="A108" s="20" t="s">
        <v>150</v>
      </c>
      <c r="B108" s="20" t="s">
        <v>36</v>
      </c>
      <c r="C108" s="20">
        <f t="shared" ref="C108:AK108" si="39">IF(C70="",C31,C70)</f>
        <v>30</v>
      </c>
      <c r="D108" s="20">
        <f t="shared" si="39"/>
        <v>20</v>
      </c>
      <c r="E108" s="20">
        <f t="shared" si="39"/>
        <v>35</v>
      </c>
      <c r="F108" s="20">
        <f t="shared" si="39"/>
        <v>45</v>
      </c>
      <c r="G108" s="20">
        <f t="shared" si="39"/>
        <v>40</v>
      </c>
      <c r="H108" s="20">
        <f t="shared" si="39"/>
        <v>35</v>
      </c>
      <c r="I108" s="20">
        <f t="shared" si="39"/>
        <v>25</v>
      </c>
      <c r="J108" s="20">
        <f t="shared" si="39"/>
        <v>15</v>
      </c>
      <c r="K108" s="20">
        <f t="shared" si="39"/>
        <v>30</v>
      </c>
      <c r="L108" s="20">
        <f t="shared" si="39"/>
        <v>30</v>
      </c>
      <c r="M108" s="20">
        <f t="shared" si="39"/>
        <v>40</v>
      </c>
      <c r="N108" s="20">
        <f t="shared" si="39"/>
        <v>45</v>
      </c>
      <c r="O108" s="20">
        <f t="shared" si="39"/>
        <v>35</v>
      </c>
      <c r="P108" s="20">
        <f t="shared" si="39"/>
        <v>20</v>
      </c>
      <c r="Q108" s="20">
        <f t="shared" si="39"/>
        <v>30</v>
      </c>
      <c r="R108" s="20">
        <f t="shared" si="39"/>
        <v>35</v>
      </c>
      <c r="S108" s="20">
        <f t="shared" si="39"/>
        <v>15</v>
      </c>
      <c r="T108" s="20">
        <f t="shared" si="39"/>
        <v>20</v>
      </c>
      <c r="U108" s="20">
        <f t="shared" si="39"/>
        <v>15</v>
      </c>
      <c r="V108" s="20">
        <f t="shared" si="39"/>
        <v>0</v>
      </c>
      <c r="W108" s="20">
        <f t="shared" si="39"/>
        <v>30</v>
      </c>
      <c r="X108" s="20">
        <f t="shared" si="39"/>
        <v>30</v>
      </c>
      <c r="Y108" s="20">
        <f t="shared" si="39"/>
        <v>30</v>
      </c>
      <c r="Z108" s="20">
        <f t="shared" si="39"/>
        <v>30</v>
      </c>
      <c r="AA108" s="20">
        <f t="shared" si="39"/>
        <v>40</v>
      </c>
      <c r="AB108" s="20">
        <f t="shared" si="39"/>
        <v>30</v>
      </c>
      <c r="AC108" s="20">
        <f t="shared" si="39"/>
        <v>35</v>
      </c>
      <c r="AD108" s="20">
        <f t="shared" si="39"/>
        <v>30</v>
      </c>
      <c r="AE108" s="20">
        <f t="shared" si="39"/>
        <v>15</v>
      </c>
      <c r="AF108" s="20">
        <f t="shared" si="39"/>
        <v>30</v>
      </c>
      <c r="AG108" s="20">
        <f t="shared" si="39"/>
        <v>25</v>
      </c>
      <c r="AH108" s="20">
        <f t="shared" si="39"/>
        <v>30</v>
      </c>
      <c r="AI108" s="20">
        <f t="shared" si="39"/>
        <v>20</v>
      </c>
      <c r="AJ108" s="20">
        <f t="shared" si="39"/>
        <v>40</v>
      </c>
      <c r="AK108" s="20">
        <f t="shared" si="39"/>
        <v>30</v>
      </c>
      <c r="AL108" s="36"/>
    </row>
    <row r="109" spans="1:38">
      <c r="A109" s="20" t="s">
        <v>151</v>
      </c>
      <c r="B109" s="20" t="s">
        <v>37</v>
      </c>
      <c r="C109" s="20">
        <f t="shared" ref="C109:AK109" si="40">IF(C71="",C32,C71)</f>
        <v>50</v>
      </c>
      <c r="D109" s="20">
        <f t="shared" si="40"/>
        <v>40</v>
      </c>
      <c r="E109" s="20">
        <f t="shared" si="40"/>
        <v>55</v>
      </c>
      <c r="F109" s="20">
        <f t="shared" si="40"/>
        <v>35</v>
      </c>
      <c r="G109" s="20">
        <f t="shared" si="40"/>
        <v>60</v>
      </c>
      <c r="H109" s="20">
        <f t="shared" si="40"/>
        <v>35</v>
      </c>
      <c r="I109" s="20">
        <f t="shared" si="40"/>
        <v>35</v>
      </c>
      <c r="J109" s="20">
        <f t="shared" si="40"/>
        <v>25</v>
      </c>
      <c r="K109" s="20">
        <f t="shared" si="40"/>
        <v>55</v>
      </c>
      <c r="L109" s="20">
        <f t="shared" si="40"/>
        <v>35</v>
      </c>
      <c r="M109" s="20">
        <f t="shared" si="40"/>
        <v>15</v>
      </c>
      <c r="N109" s="20">
        <f t="shared" si="40"/>
        <v>10</v>
      </c>
      <c r="O109" s="20">
        <f t="shared" si="40"/>
        <v>45</v>
      </c>
      <c r="P109" s="20">
        <f t="shared" si="40"/>
        <v>30</v>
      </c>
      <c r="Q109" s="20">
        <f t="shared" si="40"/>
        <v>35</v>
      </c>
      <c r="R109" s="20">
        <f t="shared" si="40"/>
        <v>50</v>
      </c>
      <c r="S109" s="20">
        <f t="shared" si="40"/>
        <v>35</v>
      </c>
      <c r="T109" s="20">
        <f t="shared" si="40"/>
        <v>40</v>
      </c>
      <c r="U109" s="20">
        <f t="shared" si="40"/>
        <v>25</v>
      </c>
      <c r="V109" s="20">
        <f t="shared" si="40"/>
        <v>30</v>
      </c>
      <c r="W109" s="20">
        <f t="shared" si="40"/>
        <v>0</v>
      </c>
      <c r="X109" s="20">
        <f t="shared" si="40"/>
        <v>40</v>
      </c>
      <c r="Y109" s="20">
        <f t="shared" si="40"/>
        <v>40</v>
      </c>
      <c r="Z109" s="20">
        <f t="shared" si="40"/>
        <v>40</v>
      </c>
      <c r="AA109" s="20">
        <f t="shared" si="40"/>
        <v>55</v>
      </c>
      <c r="AB109" s="20">
        <f t="shared" si="40"/>
        <v>40</v>
      </c>
      <c r="AC109" s="20">
        <f t="shared" si="40"/>
        <v>45</v>
      </c>
      <c r="AD109" s="20">
        <f t="shared" si="40"/>
        <v>45</v>
      </c>
      <c r="AE109" s="20">
        <f t="shared" si="40"/>
        <v>30</v>
      </c>
      <c r="AF109" s="20">
        <f t="shared" si="40"/>
        <v>40</v>
      </c>
      <c r="AG109" s="20">
        <f t="shared" si="40"/>
        <v>40</v>
      </c>
      <c r="AH109" s="20">
        <f t="shared" si="40"/>
        <v>40</v>
      </c>
      <c r="AI109" s="20">
        <f t="shared" si="40"/>
        <v>15</v>
      </c>
      <c r="AJ109" s="20">
        <f t="shared" si="40"/>
        <v>20</v>
      </c>
      <c r="AK109" s="20">
        <f t="shared" si="40"/>
        <v>40</v>
      </c>
      <c r="AL109" s="36"/>
    </row>
    <row r="110" spans="1:38">
      <c r="A110" s="20" t="s">
        <v>152</v>
      </c>
      <c r="B110" s="20" t="s">
        <v>38</v>
      </c>
      <c r="C110" s="20">
        <f t="shared" ref="C110:AK110" si="41">IF(C72="",C33,C72)</f>
        <v>30</v>
      </c>
      <c r="D110" s="20">
        <f t="shared" si="41"/>
        <v>25</v>
      </c>
      <c r="E110" s="20">
        <f t="shared" si="41"/>
        <v>25</v>
      </c>
      <c r="F110" s="20">
        <f t="shared" si="41"/>
        <v>40</v>
      </c>
      <c r="G110" s="20">
        <f t="shared" si="41"/>
        <v>15</v>
      </c>
      <c r="H110" s="20">
        <f t="shared" si="41"/>
        <v>25</v>
      </c>
      <c r="I110" s="20">
        <f t="shared" si="41"/>
        <v>10</v>
      </c>
      <c r="J110" s="20">
        <f t="shared" si="41"/>
        <v>20</v>
      </c>
      <c r="K110" s="20">
        <f t="shared" si="41"/>
        <v>5</v>
      </c>
      <c r="L110" s="20">
        <f t="shared" si="41"/>
        <v>15</v>
      </c>
      <c r="M110" s="20">
        <f t="shared" si="41"/>
        <v>45</v>
      </c>
      <c r="N110" s="20">
        <f t="shared" si="41"/>
        <v>60</v>
      </c>
      <c r="O110" s="20">
        <f t="shared" si="41"/>
        <v>5</v>
      </c>
      <c r="P110" s="20">
        <f t="shared" si="41"/>
        <v>20</v>
      </c>
      <c r="Q110" s="20">
        <f t="shared" si="41"/>
        <v>17.5</v>
      </c>
      <c r="R110" s="20">
        <f t="shared" si="41"/>
        <v>25</v>
      </c>
      <c r="S110" s="20">
        <f t="shared" si="41"/>
        <v>25</v>
      </c>
      <c r="T110" s="20">
        <f t="shared" si="41"/>
        <v>20</v>
      </c>
      <c r="U110" s="20">
        <f t="shared" si="41"/>
        <v>25</v>
      </c>
      <c r="V110" s="20">
        <f t="shared" si="41"/>
        <v>30</v>
      </c>
      <c r="W110" s="20">
        <f t="shared" si="41"/>
        <v>40</v>
      </c>
      <c r="X110" s="20">
        <f t="shared" si="41"/>
        <v>0</v>
      </c>
      <c r="Y110" s="20">
        <f t="shared" si="41"/>
        <v>20</v>
      </c>
      <c r="Z110" s="20">
        <f t="shared" si="41"/>
        <v>20</v>
      </c>
      <c r="AA110" s="20">
        <f t="shared" si="41"/>
        <v>40</v>
      </c>
      <c r="AB110" s="20">
        <f t="shared" si="41"/>
        <v>20</v>
      </c>
      <c r="AC110" s="20">
        <f t="shared" si="41"/>
        <v>15</v>
      </c>
      <c r="AD110" s="20">
        <f t="shared" si="41"/>
        <v>30</v>
      </c>
      <c r="AE110" s="20">
        <f t="shared" si="41"/>
        <v>15</v>
      </c>
      <c r="AF110" s="20">
        <f t="shared" si="41"/>
        <v>35</v>
      </c>
      <c r="AG110" s="20">
        <f t="shared" si="41"/>
        <v>15</v>
      </c>
      <c r="AH110" s="20">
        <f t="shared" si="41"/>
        <v>17.5</v>
      </c>
      <c r="AI110" s="20">
        <f t="shared" si="41"/>
        <v>35</v>
      </c>
      <c r="AJ110" s="20">
        <f t="shared" si="41"/>
        <v>65</v>
      </c>
      <c r="AK110" s="20">
        <f t="shared" si="41"/>
        <v>25</v>
      </c>
      <c r="AL110" s="36"/>
    </row>
    <row r="111" spans="1:38">
      <c r="A111" s="20" t="s">
        <v>153</v>
      </c>
      <c r="B111" s="20" t="s">
        <v>39</v>
      </c>
      <c r="C111" s="20">
        <f t="shared" ref="C111:AK111" si="42">IF(C73="",C34,C73)</f>
        <v>20</v>
      </c>
      <c r="D111" s="20">
        <f t="shared" si="42"/>
        <v>20</v>
      </c>
      <c r="E111" s="20">
        <f t="shared" si="42"/>
        <v>15</v>
      </c>
      <c r="F111" s="20">
        <f t="shared" si="42"/>
        <v>40</v>
      </c>
      <c r="G111" s="20">
        <f t="shared" si="42"/>
        <v>10</v>
      </c>
      <c r="H111" s="20">
        <f t="shared" si="42"/>
        <v>20</v>
      </c>
      <c r="I111" s="20">
        <f t="shared" si="42"/>
        <v>10</v>
      </c>
      <c r="J111" s="20">
        <f t="shared" si="42"/>
        <v>17.5</v>
      </c>
      <c r="K111" s="20">
        <f t="shared" si="42"/>
        <v>15</v>
      </c>
      <c r="L111" s="20">
        <f t="shared" si="42"/>
        <v>12.5</v>
      </c>
      <c r="M111" s="20">
        <f t="shared" si="42"/>
        <v>45</v>
      </c>
      <c r="N111" s="20">
        <f t="shared" si="42"/>
        <v>50</v>
      </c>
      <c r="O111" s="20">
        <f t="shared" si="42"/>
        <v>20</v>
      </c>
      <c r="P111" s="20">
        <f t="shared" si="42"/>
        <v>15</v>
      </c>
      <c r="Q111" s="20">
        <f t="shared" si="42"/>
        <v>5</v>
      </c>
      <c r="R111" s="20">
        <f t="shared" si="42"/>
        <v>15</v>
      </c>
      <c r="S111" s="20">
        <f t="shared" si="42"/>
        <v>20</v>
      </c>
      <c r="T111" s="20">
        <f t="shared" si="42"/>
        <v>20</v>
      </c>
      <c r="U111" s="20">
        <f t="shared" si="42"/>
        <v>20</v>
      </c>
      <c r="V111" s="20">
        <f t="shared" si="42"/>
        <v>30</v>
      </c>
      <c r="W111" s="20">
        <f t="shared" si="42"/>
        <v>40</v>
      </c>
      <c r="X111" s="20">
        <f t="shared" si="42"/>
        <v>20</v>
      </c>
      <c r="Y111" s="20">
        <f t="shared" si="42"/>
        <v>0</v>
      </c>
      <c r="Z111" s="20">
        <f t="shared" si="42"/>
        <v>5</v>
      </c>
      <c r="AA111" s="20">
        <f t="shared" si="42"/>
        <v>45</v>
      </c>
      <c r="AB111" s="20">
        <f t="shared" si="42"/>
        <v>5</v>
      </c>
      <c r="AC111" s="20">
        <f t="shared" si="42"/>
        <v>25</v>
      </c>
      <c r="AD111" s="20">
        <f t="shared" si="42"/>
        <v>35</v>
      </c>
      <c r="AE111" s="20">
        <f t="shared" si="42"/>
        <v>17.5</v>
      </c>
      <c r="AF111" s="20">
        <f t="shared" si="42"/>
        <v>17.5</v>
      </c>
      <c r="AG111" s="20">
        <f t="shared" si="42"/>
        <v>10</v>
      </c>
      <c r="AH111" s="20">
        <f t="shared" si="42"/>
        <v>30</v>
      </c>
      <c r="AI111" s="20">
        <f t="shared" si="42"/>
        <v>30</v>
      </c>
      <c r="AJ111" s="20">
        <f t="shared" si="42"/>
        <v>50</v>
      </c>
      <c r="AK111" s="20">
        <f t="shared" si="42"/>
        <v>15</v>
      </c>
      <c r="AL111" s="36"/>
    </row>
    <row r="112" spans="1:38">
      <c r="A112" s="20" t="s">
        <v>154</v>
      </c>
      <c r="B112" s="20" t="s">
        <v>52</v>
      </c>
      <c r="C112" s="20">
        <f t="shared" ref="C112:AK112" si="43">IF(C74="",C35,C74)</f>
        <v>20</v>
      </c>
      <c r="D112" s="20">
        <f t="shared" si="43"/>
        <v>20</v>
      </c>
      <c r="E112" s="20">
        <f t="shared" si="43"/>
        <v>15</v>
      </c>
      <c r="F112" s="20">
        <f t="shared" si="43"/>
        <v>40</v>
      </c>
      <c r="G112" s="20">
        <f t="shared" si="43"/>
        <v>10</v>
      </c>
      <c r="H112" s="20">
        <f t="shared" si="43"/>
        <v>20</v>
      </c>
      <c r="I112" s="20">
        <f t="shared" si="43"/>
        <v>10</v>
      </c>
      <c r="J112" s="20">
        <f t="shared" si="43"/>
        <v>17.5</v>
      </c>
      <c r="K112" s="20">
        <f t="shared" si="43"/>
        <v>15</v>
      </c>
      <c r="L112" s="20">
        <f t="shared" si="43"/>
        <v>12.5</v>
      </c>
      <c r="M112" s="20">
        <f t="shared" si="43"/>
        <v>45</v>
      </c>
      <c r="N112" s="20">
        <f t="shared" si="43"/>
        <v>50</v>
      </c>
      <c r="O112" s="20">
        <f t="shared" si="43"/>
        <v>20</v>
      </c>
      <c r="P112" s="20">
        <f t="shared" si="43"/>
        <v>15</v>
      </c>
      <c r="Q112" s="20">
        <f t="shared" si="43"/>
        <v>5</v>
      </c>
      <c r="R112" s="20">
        <f t="shared" si="43"/>
        <v>15</v>
      </c>
      <c r="S112" s="20">
        <f t="shared" si="43"/>
        <v>20</v>
      </c>
      <c r="T112" s="20">
        <f t="shared" si="43"/>
        <v>20</v>
      </c>
      <c r="U112" s="20">
        <f t="shared" si="43"/>
        <v>20</v>
      </c>
      <c r="V112" s="20">
        <f t="shared" si="43"/>
        <v>30</v>
      </c>
      <c r="W112" s="20">
        <f t="shared" si="43"/>
        <v>40</v>
      </c>
      <c r="X112" s="20">
        <f t="shared" si="43"/>
        <v>20</v>
      </c>
      <c r="Y112" s="20">
        <f t="shared" si="43"/>
        <v>5</v>
      </c>
      <c r="Z112" s="20">
        <f t="shared" si="43"/>
        <v>0</v>
      </c>
      <c r="AA112" s="20">
        <f t="shared" si="43"/>
        <v>45</v>
      </c>
      <c r="AB112" s="20">
        <f t="shared" si="43"/>
        <v>5</v>
      </c>
      <c r="AC112" s="20">
        <f t="shared" si="43"/>
        <v>25</v>
      </c>
      <c r="AD112" s="20">
        <f t="shared" si="43"/>
        <v>35</v>
      </c>
      <c r="AE112" s="20">
        <f t="shared" si="43"/>
        <v>25</v>
      </c>
      <c r="AF112" s="20">
        <f t="shared" si="43"/>
        <v>15</v>
      </c>
      <c r="AG112" s="20">
        <f t="shared" si="43"/>
        <v>15</v>
      </c>
      <c r="AH112" s="20">
        <f t="shared" si="43"/>
        <v>30</v>
      </c>
      <c r="AI112" s="20">
        <f t="shared" si="43"/>
        <v>35</v>
      </c>
      <c r="AJ112" s="20">
        <f t="shared" si="43"/>
        <v>50</v>
      </c>
      <c r="AK112" s="20">
        <f t="shared" si="43"/>
        <v>15</v>
      </c>
      <c r="AL112" s="36"/>
    </row>
    <row r="113" spans="1:39">
      <c r="A113" s="20" t="s">
        <v>155</v>
      </c>
      <c r="B113" s="20" t="s">
        <v>40</v>
      </c>
      <c r="C113" s="20">
        <f t="shared" ref="C113:AK113" si="44">IF(C75="",C36,C75)</f>
        <v>45</v>
      </c>
      <c r="D113" s="20">
        <f t="shared" si="44"/>
        <v>50</v>
      </c>
      <c r="E113" s="20">
        <f t="shared" si="44"/>
        <v>45</v>
      </c>
      <c r="F113" s="20">
        <f t="shared" si="44"/>
        <v>40</v>
      </c>
      <c r="G113" s="20">
        <f t="shared" si="44"/>
        <v>45</v>
      </c>
      <c r="H113" s="20">
        <f t="shared" si="44"/>
        <v>45</v>
      </c>
      <c r="I113" s="20">
        <f t="shared" si="44"/>
        <v>40</v>
      </c>
      <c r="J113" s="20">
        <f t="shared" si="44"/>
        <v>35</v>
      </c>
      <c r="K113" s="20">
        <f t="shared" si="44"/>
        <v>40</v>
      </c>
      <c r="L113" s="20">
        <f t="shared" si="44"/>
        <v>40</v>
      </c>
      <c r="M113" s="20">
        <f t="shared" si="44"/>
        <v>60</v>
      </c>
      <c r="N113" s="20">
        <f t="shared" si="44"/>
        <v>80</v>
      </c>
      <c r="O113" s="20">
        <f t="shared" si="44"/>
        <v>40</v>
      </c>
      <c r="P113" s="20">
        <f t="shared" si="44"/>
        <v>35</v>
      </c>
      <c r="Q113" s="20">
        <f t="shared" si="44"/>
        <v>45</v>
      </c>
      <c r="R113" s="20">
        <f t="shared" si="44"/>
        <v>50</v>
      </c>
      <c r="S113" s="20">
        <f t="shared" si="44"/>
        <v>30</v>
      </c>
      <c r="T113" s="20">
        <f t="shared" si="44"/>
        <v>30</v>
      </c>
      <c r="U113" s="20">
        <f t="shared" si="44"/>
        <v>40</v>
      </c>
      <c r="V113" s="20">
        <f t="shared" si="44"/>
        <v>40</v>
      </c>
      <c r="W113" s="20">
        <f t="shared" si="44"/>
        <v>55</v>
      </c>
      <c r="X113" s="20">
        <f t="shared" si="44"/>
        <v>40</v>
      </c>
      <c r="Y113" s="20">
        <f t="shared" si="44"/>
        <v>45</v>
      </c>
      <c r="Z113" s="20">
        <f t="shared" si="44"/>
        <v>45</v>
      </c>
      <c r="AA113" s="20">
        <f t="shared" si="44"/>
        <v>0</v>
      </c>
      <c r="AB113" s="20">
        <f t="shared" si="44"/>
        <v>40</v>
      </c>
      <c r="AC113" s="20">
        <f t="shared" si="44"/>
        <v>50</v>
      </c>
      <c r="AD113" s="20">
        <f t="shared" si="44"/>
        <v>10</v>
      </c>
      <c r="AE113" s="20">
        <f t="shared" si="44"/>
        <v>35</v>
      </c>
      <c r="AF113" s="20">
        <f t="shared" si="44"/>
        <v>50</v>
      </c>
      <c r="AG113" s="20">
        <f t="shared" si="44"/>
        <v>30</v>
      </c>
      <c r="AH113" s="20">
        <f t="shared" si="44"/>
        <v>35</v>
      </c>
      <c r="AI113" s="20">
        <f t="shared" si="44"/>
        <v>50</v>
      </c>
      <c r="AJ113" s="20">
        <f t="shared" si="44"/>
        <v>75</v>
      </c>
      <c r="AK113" s="20">
        <f t="shared" si="44"/>
        <v>45</v>
      </c>
      <c r="AL113" s="36"/>
    </row>
    <row r="114" spans="1:39">
      <c r="A114" s="20" t="s">
        <v>156</v>
      </c>
      <c r="B114" s="20" t="s">
        <v>41</v>
      </c>
      <c r="C114" s="20">
        <f t="shared" ref="C114:AK114" si="45">IF(C76="",C37,C76)</f>
        <v>15</v>
      </c>
      <c r="D114" s="20">
        <f t="shared" si="45"/>
        <v>20</v>
      </c>
      <c r="E114" s="20">
        <f t="shared" si="45"/>
        <v>10</v>
      </c>
      <c r="F114" s="20">
        <f t="shared" si="45"/>
        <v>40</v>
      </c>
      <c r="G114" s="20">
        <f t="shared" si="45"/>
        <v>15</v>
      </c>
      <c r="H114" s="20">
        <f t="shared" si="45"/>
        <v>15</v>
      </c>
      <c r="I114" s="20">
        <f t="shared" si="45"/>
        <v>20</v>
      </c>
      <c r="J114" s="20">
        <f t="shared" si="45"/>
        <v>20</v>
      </c>
      <c r="K114" s="20">
        <f t="shared" si="45"/>
        <v>15</v>
      </c>
      <c r="L114" s="20">
        <f t="shared" si="45"/>
        <v>15</v>
      </c>
      <c r="M114" s="20">
        <f t="shared" si="45"/>
        <v>45</v>
      </c>
      <c r="N114" s="20">
        <f t="shared" si="45"/>
        <v>55</v>
      </c>
      <c r="O114" s="20">
        <f t="shared" si="45"/>
        <v>20</v>
      </c>
      <c r="P114" s="20">
        <f t="shared" si="45"/>
        <v>15</v>
      </c>
      <c r="Q114" s="20">
        <f t="shared" si="45"/>
        <v>5</v>
      </c>
      <c r="R114" s="20">
        <f t="shared" si="45"/>
        <v>10</v>
      </c>
      <c r="S114" s="20">
        <f t="shared" si="45"/>
        <v>20</v>
      </c>
      <c r="T114" s="20">
        <f t="shared" si="45"/>
        <v>20</v>
      </c>
      <c r="U114" s="20">
        <f t="shared" si="45"/>
        <v>20</v>
      </c>
      <c r="V114" s="20">
        <f t="shared" si="45"/>
        <v>30</v>
      </c>
      <c r="W114" s="20">
        <f t="shared" si="45"/>
        <v>40</v>
      </c>
      <c r="X114" s="20">
        <f t="shared" si="45"/>
        <v>20</v>
      </c>
      <c r="Y114" s="20">
        <f t="shared" si="45"/>
        <v>5</v>
      </c>
      <c r="Z114" s="20">
        <f t="shared" si="45"/>
        <v>5</v>
      </c>
      <c r="AA114" s="20">
        <f t="shared" si="45"/>
        <v>40</v>
      </c>
      <c r="AB114" s="20">
        <f t="shared" si="45"/>
        <v>0</v>
      </c>
      <c r="AC114" s="20">
        <f t="shared" si="45"/>
        <v>25</v>
      </c>
      <c r="AD114" s="20">
        <f t="shared" si="45"/>
        <v>45</v>
      </c>
      <c r="AE114" s="20">
        <f t="shared" si="45"/>
        <v>20</v>
      </c>
      <c r="AF114" s="20">
        <f t="shared" si="45"/>
        <v>15</v>
      </c>
      <c r="AG114" s="20">
        <f t="shared" si="45"/>
        <v>25</v>
      </c>
      <c r="AH114" s="20">
        <f t="shared" si="45"/>
        <v>40</v>
      </c>
      <c r="AI114" s="20">
        <f t="shared" si="45"/>
        <v>30</v>
      </c>
      <c r="AJ114" s="20">
        <f t="shared" si="45"/>
        <v>55</v>
      </c>
      <c r="AK114" s="20">
        <f t="shared" si="45"/>
        <v>15</v>
      </c>
      <c r="AL114" s="36"/>
    </row>
    <row r="115" spans="1:39">
      <c r="A115" s="20" t="s">
        <v>157</v>
      </c>
      <c r="B115" s="20" t="s">
        <v>53</v>
      </c>
      <c r="C115" s="20">
        <f t="shared" ref="C115:AK115" si="46">IF(C77="",C38,C77)</f>
        <v>20</v>
      </c>
      <c r="D115" s="20">
        <f t="shared" si="46"/>
        <v>25</v>
      </c>
      <c r="E115" s="20">
        <f t="shared" si="46"/>
        <v>30</v>
      </c>
      <c r="F115" s="20">
        <f t="shared" si="46"/>
        <v>45</v>
      </c>
      <c r="G115" s="20">
        <f t="shared" si="46"/>
        <v>20</v>
      </c>
      <c r="H115" s="20">
        <f t="shared" si="46"/>
        <v>30</v>
      </c>
      <c r="I115" s="20">
        <f t="shared" si="46"/>
        <v>15</v>
      </c>
      <c r="J115" s="20">
        <f t="shared" si="46"/>
        <v>25</v>
      </c>
      <c r="K115" s="20">
        <f t="shared" si="46"/>
        <v>10</v>
      </c>
      <c r="L115" s="20">
        <f t="shared" si="46"/>
        <v>20</v>
      </c>
      <c r="M115" s="20">
        <f t="shared" si="46"/>
        <v>50</v>
      </c>
      <c r="N115" s="20">
        <f t="shared" si="46"/>
        <v>65</v>
      </c>
      <c r="O115" s="20">
        <f t="shared" si="46"/>
        <v>10</v>
      </c>
      <c r="P115" s="20">
        <f t="shared" si="46"/>
        <v>25</v>
      </c>
      <c r="Q115" s="20">
        <f t="shared" si="46"/>
        <v>22.5</v>
      </c>
      <c r="R115" s="20">
        <f t="shared" si="46"/>
        <v>30</v>
      </c>
      <c r="S115" s="20">
        <f t="shared" si="46"/>
        <v>30</v>
      </c>
      <c r="T115" s="20">
        <f t="shared" si="46"/>
        <v>25</v>
      </c>
      <c r="U115" s="20">
        <f t="shared" si="46"/>
        <v>30</v>
      </c>
      <c r="V115" s="20">
        <f t="shared" si="46"/>
        <v>35</v>
      </c>
      <c r="W115" s="20">
        <f t="shared" si="46"/>
        <v>45</v>
      </c>
      <c r="X115" s="20">
        <f t="shared" si="46"/>
        <v>15</v>
      </c>
      <c r="Y115" s="20">
        <f t="shared" si="46"/>
        <v>25</v>
      </c>
      <c r="Z115" s="20">
        <f t="shared" si="46"/>
        <v>25</v>
      </c>
      <c r="AA115" s="20">
        <f t="shared" si="46"/>
        <v>50</v>
      </c>
      <c r="AB115" s="20">
        <f t="shared" si="46"/>
        <v>25</v>
      </c>
      <c r="AC115" s="20">
        <f t="shared" si="46"/>
        <v>0</v>
      </c>
      <c r="AD115" s="20">
        <f t="shared" si="46"/>
        <v>40</v>
      </c>
      <c r="AE115" s="20">
        <f t="shared" si="46"/>
        <v>25</v>
      </c>
      <c r="AF115" s="20">
        <f t="shared" si="46"/>
        <v>30</v>
      </c>
      <c r="AG115" s="20">
        <f t="shared" si="46"/>
        <v>15</v>
      </c>
      <c r="AH115" s="20">
        <f t="shared" si="46"/>
        <v>30</v>
      </c>
      <c r="AI115" s="20">
        <f t="shared" si="46"/>
        <v>40</v>
      </c>
      <c r="AJ115" s="20">
        <f t="shared" si="46"/>
        <v>60</v>
      </c>
      <c r="AK115" s="20">
        <f t="shared" si="46"/>
        <v>30</v>
      </c>
      <c r="AL115" s="36"/>
    </row>
    <row r="116" spans="1:39">
      <c r="A116" s="20" t="s">
        <v>158</v>
      </c>
      <c r="B116" s="20" t="s">
        <v>42</v>
      </c>
      <c r="C116" s="20">
        <f t="shared" ref="C116:AK116" si="47">IF(C78="",C39,C78)</f>
        <v>35</v>
      </c>
      <c r="D116" s="20">
        <f t="shared" si="47"/>
        <v>30</v>
      </c>
      <c r="E116" s="20">
        <f t="shared" si="47"/>
        <v>35</v>
      </c>
      <c r="F116" s="20">
        <f t="shared" si="47"/>
        <v>30</v>
      </c>
      <c r="G116" s="20">
        <f t="shared" si="47"/>
        <v>35</v>
      </c>
      <c r="H116" s="20">
        <f t="shared" si="47"/>
        <v>35</v>
      </c>
      <c r="I116" s="20">
        <f t="shared" si="47"/>
        <v>30</v>
      </c>
      <c r="J116" s="20">
        <f t="shared" si="47"/>
        <v>25</v>
      </c>
      <c r="K116" s="20">
        <f t="shared" si="47"/>
        <v>30</v>
      </c>
      <c r="L116" s="20">
        <f t="shared" si="47"/>
        <v>30</v>
      </c>
      <c r="M116" s="20">
        <f t="shared" si="47"/>
        <v>50</v>
      </c>
      <c r="N116" s="20">
        <f t="shared" si="47"/>
        <v>70</v>
      </c>
      <c r="O116" s="20">
        <f t="shared" si="47"/>
        <v>30</v>
      </c>
      <c r="P116" s="20">
        <f t="shared" si="47"/>
        <v>25</v>
      </c>
      <c r="Q116" s="20">
        <f t="shared" si="47"/>
        <v>35</v>
      </c>
      <c r="R116" s="20">
        <f t="shared" si="47"/>
        <v>40</v>
      </c>
      <c r="S116" s="20">
        <f t="shared" si="47"/>
        <v>20</v>
      </c>
      <c r="T116" s="20">
        <f t="shared" si="47"/>
        <v>20</v>
      </c>
      <c r="U116" s="20">
        <f t="shared" si="47"/>
        <v>30</v>
      </c>
      <c r="V116" s="20">
        <f t="shared" si="47"/>
        <v>30</v>
      </c>
      <c r="W116" s="20">
        <f t="shared" si="47"/>
        <v>45</v>
      </c>
      <c r="X116" s="20">
        <f t="shared" si="47"/>
        <v>30</v>
      </c>
      <c r="Y116" s="20">
        <f t="shared" si="47"/>
        <v>35</v>
      </c>
      <c r="Z116" s="20">
        <f t="shared" si="47"/>
        <v>35</v>
      </c>
      <c r="AA116" s="20">
        <f t="shared" si="47"/>
        <v>10</v>
      </c>
      <c r="AB116" s="20">
        <f t="shared" si="47"/>
        <v>45</v>
      </c>
      <c r="AC116" s="20">
        <f t="shared" si="47"/>
        <v>40</v>
      </c>
      <c r="AD116" s="20">
        <f t="shared" si="47"/>
        <v>0</v>
      </c>
      <c r="AE116" s="20">
        <f t="shared" si="47"/>
        <v>25</v>
      </c>
      <c r="AF116" s="20">
        <f t="shared" si="47"/>
        <v>40</v>
      </c>
      <c r="AG116" s="20">
        <f t="shared" si="47"/>
        <v>30</v>
      </c>
      <c r="AH116" s="20">
        <f t="shared" si="47"/>
        <v>20</v>
      </c>
      <c r="AI116" s="20">
        <f t="shared" si="47"/>
        <v>40</v>
      </c>
      <c r="AJ116" s="20">
        <f t="shared" si="47"/>
        <v>60</v>
      </c>
      <c r="AK116" s="20">
        <f t="shared" si="47"/>
        <v>35</v>
      </c>
      <c r="AL116" s="36"/>
    </row>
    <row r="117" spans="1:39">
      <c r="A117" s="20" t="s">
        <v>159</v>
      </c>
      <c r="B117" s="20" t="s">
        <v>43</v>
      </c>
      <c r="C117" s="20">
        <f t="shared" ref="C117:AK117" si="48">IF(C79="",C40,C79)</f>
        <v>25</v>
      </c>
      <c r="D117" s="20">
        <f t="shared" si="48"/>
        <v>5</v>
      </c>
      <c r="E117" s="20">
        <f t="shared" si="48"/>
        <v>25</v>
      </c>
      <c r="F117" s="20">
        <f t="shared" si="48"/>
        <v>40</v>
      </c>
      <c r="G117" s="20">
        <f t="shared" si="48"/>
        <v>35</v>
      </c>
      <c r="H117" s="20">
        <f t="shared" si="48"/>
        <v>30</v>
      </c>
      <c r="I117" s="20">
        <f t="shared" si="48"/>
        <v>17.5</v>
      </c>
      <c r="J117" s="20">
        <f t="shared" si="48"/>
        <v>5</v>
      </c>
      <c r="K117" s="20">
        <f t="shared" si="48"/>
        <v>20</v>
      </c>
      <c r="L117" s="20">
        <f t="shared" si="48"/>
        <v>15</v>
      </c>
      <c r="M117" s="20">
        <f t="shared" si="48"/>
        <v>25</v>
      </c>
      <c r="N117" s="20">
        <f t="shared" si="48"/>
        <v>45</v>
      </c>
      <c r="O117" s="20">
        <f t="shared" si="48"/>
        <v>25</v>
      </c>
      <c r="P117" s="20">
        <f t="shared" si="48"/>
        <v>10</v>
      </c>
      <c r="Q117" s="20">
        <f t="shared" si="48"/>
        <v>20</v>
      </c>
      <c r="R117" s="20">
        <f t="shared" si="48"/>
        <v>30</v>
      </c>
      <c r="S117" s="20">
        <f t="shared" si="48"/>
        <v>15</v>
      </c>
      <c r="T117" s="20">
        <f t="shared" si="48"/>
        <v>15</v>
      </c>
      <c r="U117" s="20">
        <f t="shared" si="48"/>
        <v>15</v>
      </c>
      <c r="V117" s="20">
        <f t="shared" si="48"/>
        <v>15</v>
      </c>
      <c r="W117" s="20">
        <f t="shared" si="48"/>
        <v>30</v>
      </c>
      <c r="X117" s="20">
        <f t="shared" si="48"/>
        <v>15</v>
      </c>
      <c r="Y117" s="20">
        <f t="shared" si="48"/>
        <v>17.5</v>
      </c>
      <c r="Z117" s="20">
        <f t="shared" si="48"/>
        <v>25</v>
      </c>
      <c r="AA117" s="20">
        <f t="shared" si="48"/>
        <v>35</v>
      </c>
      <c r="AB117" s="20">
        <f t="shared" si="48"/>
        <v>20</v>
      </c>
      <c r="AC117" s="20">
        <f t="shared" si="48"/>
        <v>25</v>
      </c>
      <c r="AD117" s="20">
        <f t="shared" si="48"/>
        <v>25</v>
      </c>
      <c r="AE117" s="20">
        <f t="shared" si="48"/>
        <v>0</v>
      </c>
      <c r="AF117" s="20">
        <f t="shared" si="48"/>
        <v>25</v>
      </c>
      <c r="AG117" s="20">
        <f t="shared" si="48"/>
        <v>15</v>
      </c>
      <c r="AH117" s="20">
        <f t="shared" si="48"/>
        <v>25</v>
      </c>
      <c r="AI117" s="20">
        <f t="shared" si="48"/>
        <v>17.5</v>
      </c>
      <c r="AJ117" s="20">
        <f t="shared" si="48"/>
        <v>40</v>
      </c>
      <c r="AK117" s="20">
        <f t="shared" si="48"/>
        <v>17.5</v>
      </c>
      <c r="AL117" s="36"/>
    </row>
    <row r="118" spans="1:39">
      <c r="A118" s="20" t="s">
        <v>160</v>
      </c>
      <c r="B118" s="20" t="s">
        <v>44</v>
      </c>
      <c r="C118" s="20">
        <f t="shared" ref="C118:AK118" si="49">IF(C80="",C41,C80)</f>
        <v>10</v>
      </c>
      <c r="D118" s="20">
        <f t="shared" si="49"/>
        <v>15</v>
      </c>
      <c r="E118" s="20">
        <f t="shared" si="49"/>
        <v>15</v>
      </c>
      <c r="F118" s="20">
        <f t="shared" si="49"/>
        <v>50</v>
      </c>
      <c r="G118" s="20">
        <f t="shared" si="49"/>
        <v>25</v>
      </c>
      <c r="H118" s="20">
        <f t="shared" si="49"/>
        <v>15</v>
      </c>
      <c r="I118" s="20">
        <f t="shared" si="49"/>
        <v>30</v>
      </c>
      <c r="J118" s="20">
        <f t="shared" si="49"/>
        <v>20</v>
      </c>
      <c r="K118" s="20">
        <f t="shared" si="49"/>
        <v>30</v>
      </c>
      <c r="L118" s="20">
        <f t="shared" si="49"/>
        <v>20</v>
      </c>
      <c r="M118" s="20">
        <f t="shared" si="49"/>
        <v>50</v>
      </c>
      <c r="N118" s="20">
        <f t="shared" si="49"/>
        <v>55</v>
      </c>
      <c r="O118" s="20">
        <f t="shared" si="49"/>
        <v>35</v>
      </c>
      <c r="P118" s="20">
        <f t="shared" si="49"/>
        <v>20</v>
      </c>
      <c r="Q118" s="20">
        <f t="shared" si="49"/>
        <v>15</v>
      </c>
      <c r="R118" s="20">
        <f t="shared" si="49"/>
        <v>25</v>
      </c>
      <c r="S118" s="20">
        <f t="shared" si="49"/>
        <v>30</v>
      </c>
      <c r="T118" s="20">
        <f t="shared" si="49"/>
        <v>30</v>
      </c>
      <c r="U118" s="20">
        <f t="shared" si="49"/>
        <v>30</v>
      </c>
      <c r="V118" s="20">
        <f t="shared" si="49"/>
        <v>30</v>
      </c>
      <c r="W118" s="20">
        <f t="shared" si="49"/>
        <v>40</v>
      </c>
      <c r="X118" s="20">
        <f t="shared" si="49"/>
        <v>35</v>
      </c>
      <c r="Y118" s="20">
        <f t="shared" si="49"/>
        <v>17.5</v>
      </c>
      <c r="Z118" s="20">
        <f t="shared" si="49"/>
        <v>15</v>
      </c>
      <c r="AA118" s="20">
        <f t="shared" si="49"/>
        <v>50</v>
      </c>
      <c r="AB118" s="20">
        <f t="shared" si="49"/>
        <v>15</v>
      </c>
      <c r="AC118" s="20">
        <f t="shared" si="49"/>
        <v>30</v>
      </c>
      <c r="AD118" s="20">
        <f t="shared" si="49"/>
        <v>40</v>
      </c>
      <c r="AE118" s="20">
        <f t="shared" si="49"/>
        <v>25</v>
      </c>
      <c r="AF118" s="20">
        <f t="shared" si="49"/>
        <v>0</v>
      </c>
      <c r="AG118" s="20">
        <f t="shared" si="49"/>
        <v>25</v>
      </c>
      <c r="AH118" s="20">
        <f t="shared" si="49"/>
        <v>45</v>
      </c>
      <c r="AI118" s="20">
        <f t="shared" si="49"/>
        <v>30</v>
      </c>
      <c r="AJ118" s="20">
        <f t="shared" si="49"/>
        <v>50</v>
      </c>
      <c r="AK118" s="20">
        <f t="shared" si="49"/>
        <v>20</v>
      </c>
      <c r="AL118" s="36"/>
    </row>
    <row r="119" spans="1:39">
      <c r="A119" s="20" t="s">
        <v>161</v>
      </c>
      <c r="B119" s="20" t="s">
        <v>46</v>
      </c>
      <c r="C119" s="20">
        <f t="shared" ref="C119:AK119" si="50">IF(C81="",C42,C81)</f>
        <v>20</v>
      </c>
      <c r="D119" s="20">
        <f t="shared" si="50"/>
        <v>20</v>
      </c>
      <c r="E119" s="20">
        <f t="shared" si="50"/>
        <v>15</v>
      </c>
      <c r="F119" s="20">
        <f t="shared" si="50"/>
        <v>30</v>
      </c>
      <c r="G119" s="20">
        <f t="shared" si="50"/>
        <v>20</v>
      </c>
      <c r="H119" s="20">
        <f t="shared" si="50"/>
        <v>15</v>
      </c>
      <c r="I119" s="20">
        <f t="shared" si="50"/>
        <v>10</v>
      </c>
      <c r="J119" s="20">
        <f t="shared" si="50"/>
        <v>15</v>
      </c>
      <c r="K119" s="20">
        <f t="shared" si="50"/>
        <v>10</v>
      </c>
      <c r="L119" s="20">
        <f t="shared" si="50"/>
        <v>10</v>
      </c>
      <c r="M119" s="20">
        <f t="shared" si="50"/>
        <v>40</v>
      </c>
      <c r="N119" s="20">
        <f t="shared" si="50"/>
        <v>50</v>
      </c>
      <c r="O119" s="20">
        <f t="shared" si="50"/>
        <v>15</v>
      </c>
      <c r="P119" s="20">
        <f t="shared" si="50"/>
        <v>12.5</v>
      </c>
      <c r="Q119" s="20">
        <f t="shared" si="50"/>
        <v>15</v>
      </c>
      <c r="R119" s="20">
        <f t="shared" si="50"/>
        <v>25</v>
      </c>
      <c r="S119" s="20">
        <f t="shared" si="50"/>
        <v>15</v>
      </c>
      <c r="T119" s="20">
        <f t="shared" si="50"/>
        <v>15</v>
      </c>
      <c r="U119" s="20">
        <f t="shared" si="50"/>
        <v>15</v>
      </c>
      <c r="V119" s="20">
        <f t="shared" si="50"/>
        <v>25</v>
      </c>
      <c r="W119" s="20">
        <f t="shared" si="50"/>
        <v>40</v>
      </c>
      <c r="X119" s="20">
        <f t="shared" si="50"/>
        <v>15</v>
      </c>
      <c r="Y119" s="20">
        <f t="shared" si="50"/>
        <v>10</v>
      </c>
      <c r="Z119" s="20">
        <f t="shared" si="50"/>
        <v>15</v>
      </c>
      <c r="AA119" s="20">
        <f t="shared" si="50"/>
        <v>30</v>
      </c>
      <c r="AB119" s="20">
        <f t="shared" si="50"/>
        <v>25</v>
      </c>
      <c r="AC119" s="20">
        <f t="shared" si="50"/>
        <v>15</v>
      </c>
      <c r="AD119" s="20">
        <f t="shared" si="50"/>
        <v>30</v>
      </c>
      <c r="AE119" s="20">
        <f t="shared" si="50"/>
        <v>15</v>
      </c>
      <c r="AF119" s="20">
        <f t="shared" si="50"/>
        <v>25</v>
      </c>
      <c r="AG119" s="20">
        <f t="shared" si="50"/>
        <v>0</v>
      </c>
      <c r="AH119" s="20">
        <f t="shared" si="50"/>
        <v>20</v>
      </c>
      <c r="AI119" s="20">
        <f t="shared" si="50"/>
        <v>30</v>
      </c>
      <c r="AJ119" s="20">
        <f t="shared" si="50"/>
        <v>50</v>
      </c>
      <c r="AK119" s="20">
        <f t="shared" si="50"/>
        <v>15</v>
      </c>
      <c r="AL119" s="36"/>
    </row>
    <row r="120" spans="1:39">
      <c r="A120" s="20" t="s">
        <v>162</v>
      </c>
      <c r="B120" s="20" t="s">
        <v>47</v>
      </c>
      <c r="C120" s="20">
        <f t="shared" ref="C120:AK120" si="51">IF(C82="",C43,C82)</f>
        <v>35</v>
      </c>
      <c r="D120" s="20">
        <f t="shared" si="51"/>
        <v>40</v>
      </c>
      <c r="E120" s="20">
        <f t="shared" si="51"/>
        <v>30</v>
      </c>
      <c r="F120" s="20">
        <f t="shared" si="51"/>
        <v>20</v>
      </c>
      <c r="G120" s="20">
        <f t="shared" si="51"/>
        <v>35</v>
      </c>
      <c r="H120" s="20">
        <f t="shared" si="51"/>
        <v>30</v>
      </c>
      <c r="I120" s="20">
        <f t="shared" si="51"/>
        <v>20</v>
      </c>
      <c r="J120" s="20">
        <f t="shared" si="51"/>
        <v>30</v>
      </c>
      <c r="K120" s="20">
        <f t="shared" si="51"/>
        <v>25</v>
      </c>
      <c r="L120" s="20">
        <f t="shared" si="51"/>
        <v>30</v>
      </c>
      <c r="M120" s="20">
        <f t="shared" si="51"/>
        <v>35</v>
      </c>
      <c r="N120" s="20">
        <f t="shared" si="51"/>
        <v>50</v>
      </c>
      <c r="O120" s="20">
        <f t="shared" si="51"/>
        <v>25</v>
      </c>
      <c r="P120" s="20">
        <f t="shared" si="51"/>
        <v>30</v>
      </c>
      <c r="Q120" s="20">
        <f t="shared" si="51"/>
        <v>30</v>
      </c>
      <c r="R120" s="20">
        <f t="shared" si="51"/>
        <v>40</v>
      </c>
      <c r="S120" s="20">
        <f t="shared" si="51"/>
        <v>25</v>
      </c>
      <c r="T120" s="20">
        <f t="shared" si="51"/>
        <v>15</v>
      </c>
      <c r="U120" s="20">
        <f t="shared" si="51"/>
        <v>30</v>
      </c>
      <c r="V120" s="20">
        <f t="shared" si="51"/>
        <v>30</v>
      </c>
      <c r="W120" s="20">
        <f t="shared" si="51"/>
        <v>40</v>
      </c>
      <c r="X120" s="20">
        <f t="shared" si="51"/>
        <v>17.5</v>
      </c>
      <c r="Y120" s="20">
        <f t="shared" si="51"/>
        <v>30</v>
      </c>
      <c r="Z120" s="20">
        <f t="shared" si="51"/>
        <v>30</v>
      </c>
      <c r="AA120" s="20">
        <f t="shared" si="51"/>
        <v>35</v>
      </c>
      <c r="AB120" s="20">
        <f t="shared" si="51"/>
        <v>40</v>
      </c>
      <c r="AC120" s="20">
        <f t="shared" si="51"/>
        <v>30</v>
      </c>
      <c r="AD120" s="20">
        <f t="shared" si="51"/>
        <v>20</v>
      </c>
      <c r="AE120" s="20">
        <f t="shared" si="51"/>
        <v>25</v>
      </c>
      <c r="AF120" s="20">
        <f t="shared" si="51"/>
        <v>45</v>
      </c>
      <c r="AG120" s="20">
        <f t="shared" si="51"/>
        <v>20</v>
      </c>
      <c r="AH120" s="20">
        <f t="shared" si="51"/>
        <v>0</v>
      </c>
      <c r="AI120" s="20">
        <f t="shared" si="51"/>
        <v>25</v>
      </c>
      <c r="AJ120" s="20">
        <f t="shared" si="51"/>
        <v>55</v>
      </c>
      <c r="AK120" s="20">
        <f t="shared" si="51"/>
        <v>40</v>
      </c>
      <c r="AL120" s="36"/>
    </row>
    <row r="121" spans="1:39">
      <c r="A121" s="20" t="s">
        <v>163</v>
      </c>
      <c r="B121" s="20" t="s">
        <v>62</v>
      </c>
      <c r="C121" s="20">
        <f t="shared" ref="C121:AK121" si="52">IF(C83="",C44,C83)</f>
        <v>40</v>
      </c>
      <c r="D121" s="20">
        <f t="shared" si="52"/>
        <v>30</v>
      </c>
      <c r="E121" s="20">
        <f t="shared" si="52"/>
        <v>35</v>
      </c>
      <c r="F121" s="20">
        <f t="shared" si="52"/>
        <v>35</v>
      </c>
      <c r="G121" s="20">
        <f t="shared" si="52"/>
        <v>40</v>
      </c>
      <c r="H121" s="20">
        <f t="shared" si="52"/>
        <v>30</v>
      </c>
      <c r="I121" s="20">
        <f t="shared" si="52"/>
        <v>30</v>
      </c>
      <c r="J121" s="20">
        <f t="shared" si="52"/>
        <v>20</v>
      </c>
      <c r="K121" s="20">
        <f t="shared" si="52"/>
        <v>35</v>
      </c>
      <c r="L121" s="20">
        <f t="shared" si="52"/>
        <v>30</v>
      </c>
      <c r="M121" s="20">
        <f t="shared" si="52"/>
        <v>30</v>
      </c>
      <c r="N121" s="20">
        <f t="shared" si="52"/>
        <v>40</v>
      </c>
      <c r="O121" s="20">
        <f t="shared" si="52"/>
        <v>40</v>
      </c>
      <c r="P121" s="20">
        <f t="shared" si="52"/>
        <v>25</v>
      </c>
      <c r="Q121" s="20">
        <f t="shared" si="52"/>
        <v>35</v>
      </c>
      <c r="R121" s="20">
        <f t="shared" si="52"/>
        <v>35</v>
      </c>
      <c r="S121" s="20">
        <f t="shared" si="52"/>
        <v>25</v>
      </c>
      <c r="T121" s="20">
        <f t="shared" si="52"/>
        <v>30</v>
      </c>
      <c r="U121" s="20">
        <f t="shared" si="52"/>
        <v>25</v>
      </c>
      <c r="V121" s="20">
        <f t="shared" si="52"/>
        <v>20</v>
      </c>
      <c r="W121" s="20">
        <f t="shared" si="52"/>
        <v>15</v>
      </c>
      <c r="X121" s="20">
        <f t="shared" si="52"/>
        <v>35</v>
      </c>
      <c r="Y121" s="20">
        <f t="shared" si="52"/>
        <v>30</v>
      </c>
      <c r="Z121" s="20">
        <f t="shared" si="52"/>
        <v>35</v>
      </c>
      <c r="AA121" s="20">
        <f t="shared" si="52"/>
        <v>50</v>
      </c>
      <c r="AB121" s="20">
        <f t="shared" si="52"/>
        <v>30</v>
      </c>
      <c r="AC121" s="20">
        <f t="shared" si="52"/>
        <v>40</v>
      </c>
      <c r="AD121" s="20">
        <f t="shared" si="52"/>
        <v>40</v>
      </c>
      <c r="AE121" s="20">
        <f t="shared" si="52"/>
        <v>17.5</v>
      </c>
      <c r="AF121" s="20">
        <f t="shared" si="52"/>
        <v>30</v>
      </c>
      <c r="AG121" s="20">
        <f t="shared" si="52"/>
        <v>30</v>
      </c>
      <c r="AH121" s="20">
        <f t="shared" si="52"/>
        <v>25</v>
      </c>
      <c r="AI121" s="20">
        <f t="shared" si="52"/>
        <v>0</v>
      </c>
      <c r="AJ121" s="20">
        <f t="shared" si="52"/>
        <v>30</v>
      </c>
      <c r="AK121" s="20">
        <f t="shared" si="52"/>
        <v>30</v>
      </c>
      <c r="AL121" s="36"/>
    </row>
    <row r="122" spans="1:39">
      <c r="A122" s="20" t="s">
        <v>164</v>
      </c>
      <c r="B122" s="20" t="s">
        <v>48</v>
      </c>
      <c r="C122" s="20">
        <f t="shared" ref="C122:AK122" si="53">IF(C84="",C45,C84)</f>
        <v>60</v>
      </c>
      <c r="D122" s="20">
        <f t="shared" si="53"/>
        <v>50</v>
      </c>
      <c r="E122" s="20">
        <f t="shared" si="53"/>
        <v>65</v>
      </c>
      <c r="F122" s="20">
        <f t="shared" si="53"/>
        <v>45</v>
      </c>
      <c r="G122" s="20">
        <f t="shared" si="53"/>
        <v>70</v>
      </c>
      <c r="H122" s="20">
        <f t="shared" si="53"/>
        <v>45</v>
      </c>
      <c r="I122" s="20">
        <f t="shared" si="53"/>
        <v>45</v>
      </c>
      <c r="J122" s="20">
        <f t="shared" si="53"/>
        <v>35</v>
      </c>
      <c r="K122" s="20">
        <f t="shared" si="53"/>
        <v>65</v>
      </c>
      <c r="L122" s="20">
        <f t="shared" si="53"/>
        <v>45</v>
      </c>
      <c r="M122" s="20">
        <f t="shared" si="53"/>
        <v>20</v>
      </c>
      <c r="N122" s="20">
        <f t="shared" si="53"/>
        <v>15</v>
      </c>
      <c r="O122" s="20">
        <f t="shared" si="53"/>
        <v>55</v>
      </c>
      <c r="P122" s="20">
        <f t="shared" si="53"/>
        <v>40</v>
      </c>
      <c r="Q122" s="20">
        <f t="shared" si="53"/>
        <v>45</v>
      </c>
      <c r="R122" s="20">
        <f t="shared" si="53"/>
        <v>60</v>
      </c>
      <c r="S122" s="20">
        <f t="shared" si="53"/>
        <v>45</v>
      </c>
      <c r="T122" s="20">
        <f t="shared" si="53"/>
        <v>50</v>
      </c>
      <c r="U122" s="20">
        <f t="shared" si="53"/>
        <v>35</v>
      </c>
      <c r="V122" s="20">
        <f t="shared" si="53"/>
        <v>40</v>
      </c>
      <c r="W122" s="20">
        <f t="shared" si="53"/>
        <v>20</v>
      </c>
      <c r="X122" s="20">
        <f t="shared" si="53"/>
        <v>65</v>
      </c>
      <c r="Y122" s="20">
        <f t="shared" si="53"/>
        <v>50</v>
      </c>
      <c r="Z122" s="20">
        <f t="shared" si="53"/>
        <v>50</v>
      </c>
      <c r="AA122" s="20">
        <f t="shared" si="53"/>
        <v>75</v>
      </c>
      <c r="AB122" s="20">
        <f t="shared" si="53"/>
        <v>55</v>
      </c>
      <c r="AC122" s="20">
        <f t="shared" si="53"/>
        <v>60</v>
      </c>
      <c r="AD122" s="20">
        <f t="shared" si="53"/>
        <v>60</v>
      </c>
      <c r="AE122" s="20">
        <f t="shared" si="53"/>
        <v>40</v>
      </c>
      <c r="AF122" s="20">
        <f t="shared" si="53"/>
        <v>50</v>
      </c>
      <c r="AG122" s="20">
        <f t="shared" si="53"/>
        <v>50</v>
      </c>
      <c r="AH122" s="20">
        <f t="shared" si="53"/>
        <v>55</v>
      </c>
      <c r="AI122" s="20">
        <f t="shared" si="53"/>
        <v>30</v>
      </c>
      <c r="AJ122" s="20">
        <f t="shared" si="53"/>
        <v>0</v>
      </c>
      <c r="AK122" s="20">
        <f t="shared" si="53"/>
        <v>55</v>
      </c>
      <c r="AL122" s="36"/>
    </row>
    <row r="123" spans="1:39">
      <c r="A123" s="20" t="s">
        <v>165</v>
      </c>
      <c r="B123" s="20" t="s">
        <v>49</v>
      </c>
      <c r="C123" s="20">
        <f t="shared" ref="C123:AK123" si="54">IF(C85="",C46,C85)</f>
        <v>15</v>
      </c>
      <c r="D123" s="20">
        <f t="shared" si="54"/>
        <v>15</v>
      </c>
      <c r="E123" s="20">
        <f t="shared" si="54"/>
        <v>20</v>
      </c>
      <c r="F123" s="20">
        <f t="shared" si="54"/>
        <v>50</v>
      </c>
      <c r="G123" s="20">
        <f t="shared" si="54"/>
        <v>20</v>
      </c>
      <c r="H123" s="20">
        <f t="shared" si="54"/>
        <v>20</v>
      </c>
      <c r="I123" s="20">
        <f t="shared" si="54"/>
        <v>20</v>
      </c>
      <c r="J123" s="20">
        <f t="shared" si="54"/>
        <v>15</v>
      </c>
      <c r="K123" s="20">
        <f t="shared" si="54"/>
        <v>20</v>
      </c>
      <c r="L123" s="20">
        <f t="shared" si="54"/>
        <v>5</v>
      </c>
      <c r="M123" s="20">
        <f t="shared" si="54"/>
        <v>40</v>
      </c>
      <c r="N123" s="20">
        <f t="shared" si="54"/>
        <v>50</v>
      </c>
      <c r="O123" s="20">
        <f t="shared" si="54"/>
        <v>25</v>
      </c>
      <c r="P123" s="20">
        <f t="shared" si="54"/>
        <v>15</v>
      </c>
      <c r="Q123" s="20">
        <f t="shared" si="54"/>
        <v>12.5</v>
      </c>
      <c r="R123" s="20">
        <f t="shared" si="54"/>
        <v>20</v>
      </c>
      <c r="S123" s="20">
        <f t="shared" si="54"/>
        <v>25</v>
      </c>
      <c r="T123" s="20">
        <f t="shared" si="54"/>
        <v>30</v>
      </c>
      <c r="U123" s="20">
        <f t="shared" si="54"/>
        <v>20</v>
      </c>
      <c r="V123" s="20">
        <f t="shared" si="54"/>
        <v>30</v>
      </c>
      <c r="W123" s="20">
        <f t="shared" si="54"/>
        <v>40</v>
      </c>
      <c r="X123" s="20">
        <f t="shared" si="54"/>
        <v>25</v>
      </c>
      <c r="Y123" s="20">
        <f t="shared" si="54"/>
        <v>15</v>
      </c>
      <c r="Z123" s="20">
        <f t="shared" si="54"/>
        <v>15</v>
      </c>
      <c r="AA123" s="20">
        <f t="shared" si="54"/>
        <v>45</v>
      </c>
      <c r="AB123" s="20">
        <f t="shared" si="54"/>
        <v>15</v>
      </c>
      <c r="AC123" s="20">
        <f t="shared" si="54"/>
        <v>30</v>
      </c>
      <c r="AD123" s="20">
        <f t="shared" si="54"/>
        <v>35</v>
      </c>
      <c r="AE123" s="20">
        <f t="shared" si="54"/>
        <v>17.5</v>
      </c>
      <c r="AF123" s="20">
        <f t="shared" si="54"/>
        <v>20</v>
      </c>
      <c r="AG123" s="20">
        <f t="shared" si="54"/>
        <v>15</v>
      </c>
      <c r="AH123" s="20">
        <f t="shared" si="54"/>
        <v>40</v>
      </c>
      <c r="AI123" s="20">
        <f t="shared" si="54"/>
        <v>30</v>
      </c>
      <c r="AJ123" s="20">
        <f t="shared" si="54"/>
        <v>55</v>
      </c>
      <c r="AK123" s="20">
        <f t="shared" si="54"/>
        <v>0</v>
      </c>
      <c r="AL123" s="36"/>
    </row>
    <row r="124" spans="1:39">
      <c r="AM124" s="37"/>
    </row>
    <row r="125" spans="1:39">
      <c r="A125" s="35" t="s">
        <v>247</v>
      </c>
      <c r="AM125" s="37"/>
    </row>
    <row r="127" spans="1:39" ht="15">
      <c r="A127" s="20">
        <f>Inputs!B9</f>
        <v>3</v>
      </c>
      <c r="B127" s="34" t="s">
        <v>244</v>
      </c>
    </row>
    <row r="128" spans="1:39" ht="15">
      <c r="A128" s="20" t="str">
        <f>Inputs!B29</f>
        <v>Financial District</v>
      </c>
      <c r="B128" s="31" t="s">
        <v>234</v>
      </c>
    </row>
    <row r="129" spans="1:3" ht="15">
      <c r="A129" s="20">
        <f>Inputs!B30</f>
        <v>10</v>
      </c>
      <c r="B129" s="32" t="s">
        <v>235</v>
      </c>
    </row>
    <row r="130" spans="1:3" ht="15">
      <c r="A130" s="20">
        <f>Inputs!B31</f>
        <v>35</v>
      </c>
      <c r="B130" s="33" t="s">
        <v>238</v>
      </c>
    </row>
    <row r="131" spans="1:3" ht="15">
      <c r="A131" s="20" t="str">
        <f>Inputs!B32</f>
        <v>East Village</v>
      </c>
      <c r="B131" s="31" t="s">
        <v>242</v>
      </c>
    </row>
    <row r="132" spans="1:3" ht="15">
      <c r="A132" s="20">
        <f>Inputs!B33</f>
        <v>8</v>
      </c>
      <c r="B132" s="32" t="s">
        <v>245</v>
      </c>
    </row>
    <row r="133" spans="1:3" ht="15">
      <c r="A133" s="20">
        <f>Inputs!B34</f>
        <v>45</v>
      </c>
      <c r="B133" s="33" t="s">
        <v>239</v>
      </c>
    </row>
    <row r="134" spans="1:3" ht="15">
      <c r="A134" s="20" t="str">
        <f>Inputs!B35</f>
        <v>Union Square</v>
      </c>
      <c r="B134" s="31" t="s">
        <v>243</v>
      </c>
    </row>
    <row r="135" spans="1:3" ht="15">
      <c r="A135" s="20">
        <f>Inputs!B36</f>
        <v>0.5</v>
      </c>
      <c r="B135" s="32" t="s">
        <v>246</v>
      </c>
    </row>
    <row r="136" spans="1:3" ht="15">
      <c r="A136" s="20">
        <f>Inputs!B37</f>
        <v>90</v>
      </c>
      <c r="B136" s="33" t="s">
        <v>240</v>
      </c>
    </row>
    <row r="137" spans="1:3" ht="15">
      <c r="A137" s="20" t="str">
        <f>Inputs!B38</f>
        <v>Upper West Side</v>
      </c>
      <c r="B137" s="31" t="s">
        <v>236</v>
      </c>
    </row>
    <row r="138" spans="1:3" ht="15">
      <c r="A138" s="20">
        <f>Inputs!B39</f>
        <v>0.5</v>
      </c>
      <c r="B138" s="32" t="s">
        <v>246</v>
      </c>
    </row>
    <row r="139" spans="1:3" ht="15">
      <c r="A139" s="20">
        <f>Inputs!B40</f>
        <v>90</v>
      </c>
      <c r="B139" s="33" t="s">
        <v>240</v>
      </c>
    </row>
    <row r="141" spans="1:3">
      <c r="C141" s="21" t="s">
        <v>102</v>
      </c>
    </row>
    <row r="142" spans="1:3">
      <c r="A142" s="21" t="s">
        <v>282</v>
      </c>
      <c r="B142" s="42" t="str">
        <f>OBJ!B2</f>
        <v>East Village</v>
      </c>
      <c r="C142" s="41">
        <f>INDEX($E$155:$AM$155,1,MATCH(B142,$E$146:$AM$146,FALSE))</f>
        <v>7.9088982747339376</v>
      </c>
    </row>
    <row r="143" spans="1:3">
      <c r="A143" s="21"/>
      <c r="B143" s="42" t="str">
        <f>OBJ!B3</f>
        <v>Upper West Side</v>
      </c>
      <c r="C143" s="41">
        <f>INDEX($E$155:$AM$155,1,MATCH(B143,$E$146:$AM$146,FALSE))</f>
        <v>3.1190531883524137</v>
      </c>
    </row>
    <row r="144" spans="1:3">
      <c r="A144" s="21"/>
      <c r="B144" s="42" t="str">
        <f>OBJ!B4</f>
        <v>Midtown East</v>
      </c>
      <c r="C144" s="41">
        <f>INDEX($E$155:$AM$155,1,MATCH(B144,$E$146:$AM$146,FALSE))</f>
        <v>4.2800807737434576</v>
      </c>
    </row>
    <row r="145" spans="1:75">
      <c r="E145" s="38" t="s">
        <v>255</v>
      </c>
      <c r="AN145" s="38" t="s">
        <v>256</v>
      </c>
      <c r="BW145" s="38"/>
    </row>
    <row r="146" spans="1:75">
      <c r="B146" s="20" t="s">
        <v>252</v>
      </c>
      <c r="C146" s="20" t="s">
        <v>253</v>
      </c>
      <c r="D146" s="20" t="s">
        <v>254</v>
      </c>
      <c r="E146" s="20" t="s">
        <v>11</v>
      </c>
      <c r="F146" s="20" t="s">
        <v>13</v>
      </c>
      <c r="G146" s="20" t="s">
        <v>14</v>
      </c>
      <c r="H146" s="20" t="s">
        <v>17</v>
      </c>
      <c r="I146" s="20" t="s">
        <v>18</v>
      </c>
      <c r="J146" s="20" t="s">
        <v>19</v>
      </c>
      <c r="K146" s="20" t="s">
        <v>20</v>
      </c>
      <c r="L146" s="20" t="s">
        <v>21</v>
      </c>
      <c r="M146" s="20" t="s">
        <v>22</v>
      </c>
      <c r="N146" s="20" t="s">
        <v>23</v>
      </c>
      <c r="O146" s="20" t="s">
        <v>25</v>
      </c>
      <c r="P146" s="20" t="s">
        <v>27</v>
      </c>
      <c r="Q146" s="20" t="s">
        <v>28</v>
      </c>
      <c r="R146" s="20" t="s">
        <v>29</v>
      </c>
      <c r="S146" s="20" t="s">
        <v>61</v>
      </c>
      <c r="T146" s="20" t="s">
        <v>31</v>
      </c>
      <c r="U146" s="20" t="s">
        <v>33</v>
      </c>
      <c r="V146" s="20" t="s">
        <v>34</v>
      </c>
      <c r="W146" s="20" t="s">
        <v>35</v>
      </c>
      <c r="X146" s="20" t="s">
        <v>36</v>
      </c>
      <c r="Y146" s="20" t="s">
        <v>37</v>
      </c>
      <c r="Z146" s="20" t="s">
        <v>38</v>
      </c>
      <c r="AA146" s="20" t="s">
        <v>39</v>
      </c>
      <c r="AB146" s="20" t="s">
        <v>52</v>
      </c>
      <c r="AC146" s="20" t="s">
        <v>40</v>
      </c>
      <c r="AD146" s="20" t="s">
        <v>41</v>
      </c>
      <c r="AE146" s="20" t="s">
        <v>53</v>
      </c>
      <c r="AF146" s="20" t="s">
        <v>42</v>
      </c>
      <c r="AG146" s="20" t="s">
        <v>43</v>
      </c>
      <c r="AH146" s="20" t="s">
        <v>44</v>
      </c>
      <c r="AI146" s="20" t="s">
        <v>46</v>
      </c>
      <c r="AJ146" s="20" t="s">
        <v>47</v>
      </c>
      <c r="AK146" s="20" t="s">
        <v>62</v>
      </c>
      <c r="AL146" s="20" t="s">
        <v>48</v>
      </c>
      <c r="AM146" s="20" t="s">
        <v>49</v>
      </c>
      <c r="AN146" s="20" t="s">
        <v>11</v>
      </c>
      <c r="AO146" s="20" t="s">
        <v>13</v>
      </c>
      <c r="AP146" s="20" t="s">
        <v>14</v>
      </c>
      <c r="AQ146" s="20" t="s">
        <v>17</v>
      </c>
      <c r="AR146" s="20" t="s">
        <v>18</v>
      </c>
      <c r="AS146" s="20" t="s">
        <v>19</v>
      </c>
      <c r="AT146" s="20" t="s">
        <v>20</v>
      </c>
      <c r="AU146" s="20" t="s">
        <v>21</v>
      </c>
      <c r="AV146" s="20" t="s">
        <v>22</v>
      </c>
      <c r="AW146" s="20" t="s">
        <v>23</v>
      </c>
      <c r="AX146" s="20" t="s">
        <v>25</v>
      </c>
      <c r="AY146" s="20" t="s">
        <v>27</v>
      </c>
      <c r="AZ146" s="20" t="s">
        <v>28</v>
      </c>
      <c r="BA146" s="20" t="s">
        <v>29</v>
      </c>
      <c r="BB146" s="20" t="s">
        <v>61</v>
      </c>
      <c r="BC146" s="20" t="s">
        <v>31</v>
      </c>
      <c r="BD146" s="20" t="s">
        <v>33</v>
      </c>
      <c r="BE146" s="20" t="s">
        <v>34</v>
      </c>
      <c r="BF146" s="20" t="s">
        <v>35</v>
      </c>
      <c r="BG146" s="20" t="s">
        <v>36</v>
      </c>
      <c r="BH146" s="20" t="s">
        <v>37</v>
      </c>
      <c r="BI146" s="20" t="s">
        <v>38</v>
      </c>
      <c r="BJ146" s="20" t="s">
        <v>39</v>
      </c>
      <c r="BK146" s="20" t="s">
        <v>52</v>
      </c>
      <c r="BL146" s="20" t="s">
        <v>40</v>
      </c>
      <c r="BM146" s="20" t="s">
        <v>41</v>
      </c>
      <c r="BN146" s="20" t="s">
        <v>53</v>
      </c>
      <c r="BO146" s="20" t="s">
        <v>42</v>
      </c>
      <c r="BP146" s="20" t="s">
        <v>43</v>
      </c>
      <c r="BQ146" s="20" t="s">
        <v>44</v>
      </c>
      <c r="BR146" s="20" t="s">
        <v>46</v>
      </c>
      <c r="BS146" s="20" t="s">
        <v>47</v>
      </c>
      <c r="BT146" s="20" t="s">
        <v>62</v>
      </c>
      <c r="BU146" s="20" t="s">
        <v>48</v>
      </c>
      <c r="BV146" s="20" t="s">
        <v>49</v>
      </c>
    </row>
    <row r="147" spans="1:75">
      <c r="A147" s="20" t="s">
        <v>248</v>
      </c>
      <c r="B147" s="20" t="str">
        <f>A128</f>
        <v>Financial District</v>
      </c>
      <c r="C147" s="20">
        <f>A129</f>
        <v>10</v>
      </c>
      <c r="D147" s="20">
        <f>A130</f>
        <v>35</v>
      </c>
      <c r="E147" s="20">
        <f>IF(LEFT($B147,3)="N/A","",INDEX($C$89:$AK$123,MATCH(E$146,$B$89:$B$123,FALSE),MATCH($B147,$C$88:$AK$88,FALSE)))</f>
        <v>5</v>
      </c>
      <c r="F147" s="20">
        <f t="shared" ref="F147:AM150" si="55">IF(LEFT($B147,3)="N/A","",INDEX($C$89:$AK$123,MATCH(F$146,$B$89:$B$123,FALSE),MATCH($B147,$C$88:$AK$88,FALSE)))</f>
        <v>15</v>
      </c>
      <c r="G147" s="20">
        <f t="shared" si="55"/>
        <v>10</v>
      </c>
      <c r="H147" s="20">
        <f t="shared" si="55"/>
        <v>40</v>
      </c>
      <c r="I147" s="20">
        <f t="shared" si="55"/>
        <v>30</v>
      </c>
      <c r="J147" s="20">
        <f t="shared" si="55"/>
        <v>0</v>
      </c>
      <c r="K147" s="20">
        <f t="shared" si="55"/>
        <v>20</v>
      </c>
      <c r="L147" s="20">
        <f t="shared" si="55"/>
        <v>25</v>
      </c>
      <c r="M147" s="20">
        <f t="shared" si="55"/>
        <v>25</v>
      </c>
      <c r="N147" s="20">
        <f t="shared" si="55"/>
        <v>20</v>
      </c>
      <c r="O147" s="20">
        <f t="shared" si="55"/>
        <v>40</v>
      </c>
      <c r="P147" s="20">
        <f t="shared" si="55"/>
        <v>55</v>
      </c>
      <c r="Q147" s="20">
        <f t="shared" si="55"/>
        <v>25</v>
      </c>
      <c r="R147" s="20">
        <f t="shared" si="55"/>
        <v>30</v>
      </c>
      <c r="S147" s="20">
        <f t="shared" si="55"/>
        <v>20</v>
      </c>
      <c r="T147" s="20">
        <f t="shared" si="55"/>
        <v>25</v>
      </c>
      <c r="U147" s="20">
        <f t="shared" si="55"/>
        <v>25</v>
      </c>
      <c r="V147" s="20">
        <f t="shared" si="55"/>
        <v>30</v>
      </c>
      <c r="W147" s="20">
        <f t="shared" si="55"/>
        <v>25</v>
      </c>
      <c r="X147" s="20">
        <f t="shared" si="55"/>
        <v>35</v>
      </c>
      <c r="Y147" s="20">
        <f t="shared" si="55"/>
        <v>35</v>
      </c>
      <c r="Z147" s="20">
        <f t="shared" si="55"/>
        <v>25</v>
      </c>
      <c r="AA147" s="20">
        <f t="shared" si="55"/>
        <v>20</v>
      </c>
      <c r="AB147" s="20">
        <f t="shared" si="55"/>
        <v>20</v>
      </c>
      <c r="AC147" s="20">
        <f t="shared" si="55"/>
        <v>45</v>
      </c>
      <c r="AD147" s="20">
        <f t="shared" si="55"/>
        <v>15</v>
      </c>
      <c r="AE147" s="20">
        <f t="shared" si="55"/>
        <v>30</v>
      </c>
      <c r="AF147" s="20">
        <f t="shared" si="55"/>
        <v>35</v>
      </c>
      <c r="AG147" s="20">
        <f t="shared" si="55"/>
        <v>30</v>
      </c>
      <c r="AH147" s="20">
        <f t="shared" si="55"/>
        <v>15</v>
      </c>
      <c r="AI147" s="20">
        <f t="shared" si="55"/>
        <v>15</v>
      </c>
      <c r="AJ147" s="20">
        <f t="shared" si="55"/>
        <v>30</v>
      </c>
      <c r="AK147" s="20">
        <f t="shared" si="55"/>
        <v>30</v>
      </c>
      <c r="AL147" s="20">
        <f t="shared" si="55"/>
        <v>45</v>
      </c>
      <c r="AM147" s="20">
        <f t="shared" si="55"/>
        <v>20</v>
      </c>
      <c r="AN147" s="20">
        <f>IF(E147="",1,IF($D147&lt;E147,0,1))</f>
        <v>1</v>
      </c>
      <c r="AO147" s="20">
        <f t="shared" ref="AO147:BV147" si="56">IF(F147="",1,IF($D147&lt;F147,0,1))</f>
        <v>1</v>
      </c>
      <c r="AP147" s="20">
        <f t="shared" si="56"/>
        <v>1</v>
      </c>
      <c r="AQ147" s="20">
        <f t="shared" si="56"/>
        <v>0</v>
      </c>
      <c r="AR147" s="20">
        <f t="shared" si="56"/>
        <v>1</v>
      </c>
      <c r="AS147" s="20">
        <f t="shared" si="56"/>
        <v>1</v>
      </c>
      <c r="AT147" s="20">
        <f t="shared" si="56"/>
        <v>1</v>
      </c>
      <c r="AU147" s="20">
        <f t="shared" si="56"/>
        <v>1</v>
      </c>
      <c r="AV147" s="20">
        <f t="shared" si="56"/>
        <v>1</v>
      </c>
      <c r="AW147" s="20">
        <f t="shared" si="56"/>
        <v>1</v>
      </c>
      <c r="AX147" s="20">
        <f t="shared" si="56"/>
        <v>0</v>
      </c>
      <c r="AY147" s="20">
        <f t="shared" si="56"/>
        <v>0</v>
      </c>
      <c r="AZ147" s="20">
        <f t="shared" si="56"/>
        <v>1</v>
      </c>
      <c r="BA147" s="20">
        <f t="shared" si="56"/>
        <v>1</v>
      </c>
      <c r="BB147" s="20">
        <f t="shared" si="56"/>
        <v>1</v>
      </c>
      <c r="BC147" s="20">
        <f t="shared" si="56"/>
        <v>1</v>
      </c>
      <c r="BD147" s="20">
        <f t="shared" si="56"/>
        <v>1</v>
      </c>
      <c r="BE147" s="20">
        <f t="shared" si="56"/>
        <v>1</v>
      </c>
      <c r="BF147" s="20">
        <f t="shared" si="56"/>
        <v>1</v>
      </c>
      <c r="BG147" s="20">
        <f t="shared" si="56"/>
        <v>1</v>
      </c>
      <c r="BH147" s="20">
        <f t="shared" si="56"/>
        <v>1</v>
      </c>
      <c r="BI147" s="20">
        <f t="shared" si="56"/>
        <v>1</v>
      </c>
      <c r="BJ147" s="20">
        <f t="shared" si="56"/>
        <v>1</v>
      </c>
      <c r="BK147" s="20">
        <f t="shared" si="56"/>
        <v>1</v>
      </c>
      <c r="BL147" s="20">
        <f t="shared" si="56"/>
        <v>0</v>
      </c>
      <c r="BM147" s="20">
        <f t="shared" si="56"/>
        <v>1</v>
      </c>
      <c r="BN147" s="20">
        <f t="shared" si="56"/>
        <v>1</v>
      </c>
      <c r="BO147" s="20">
        <f t="shared" si="56"/>
        <v>1</v>
      </c>
      <c r="BP147" s="20">
        <f t="shared" si="56"/>
        <v>1</v>
      </c>
      <c r="BQ147" s="20">
        <f t="shared" si="56"/>
        <v>1</v>
      </c>
      <c r="BR147" s="20">
        <f t="shared" si="56"/>
        <v>1</v>
      </c>
      <c r="BS147" s="20">
        <f t="shared" si="56"/>
        <v>1</v>
      </c>
      <c r="BT147" s="20">
        <f t="shared" si="56"/>
        <v>1</v>
      </c>
      <c r="BU147" s="20">
        <f t="shared" si="56"/>
        <v>0</v>
      </c>
      <c r="BV147" s="20">
        <f t="shared" si="56"/>
        <v>1</v>
      </c>
    </row>
    <row r="148" spans="1:75">
      <c r="A148" s="20" t="s">
        <v>249</v>
      </c>
      <c r="B148" s="20" t="str">
        <f>A131</f>
        <v>East Village</v>
      </c>
      <c r="C148" s="20">
        <f>A132</f>
        <v>8</v>
      </c>
      <c r="D148" s="20">
        <f>A133</f>
        <v>45</v>
      </c>
      <c r="E148" s="20">
        <f>IF(LEFT($B148,3)="N/A","",INDEX($C$89:$AK$123,MATCH(E$146,$B$89:$B$123,FALSE),MATCH($B148,$C$88:$AK$88,FALSE)))</f>
        <v>30</v>
      </c>
      <c r="F148" s="20">
        <f t="shared" ref="F148:T148" si="57">IF(LEFT($B148,3)="N/A","",INDEX($C$89:$AK$123,MATCH(F$146,$B$89:$B$123,FALSE),MATCH($B148,$C$88:$AK$88,FALSE)))</f>
        <v>30</v>
      </c>
      <c r="G148" s="20">
        <f t="shared" si="57"/>
        <v>15</v>
      </c>
      <c r="H148" s="20">
        <f t="shared" si="57"/>
        <v>45</v>
      </c>
      <c r="I148" s="20">
        <f t="shared" si="57"/>
        <v>0</v>
      </c>
      <c r="J148" s="20">
        <f t="shared" si="57"/>
        <v>30</v>
      </c>
      <c r="K148" s="20">
        <f t="shared" si="57"/>
        <v>20</v>
      </c>
      <c r="L148" s="20">
        <f t="shared" si="57"/>
        <v>30</v>
      </c>
      <c r="M148" s="20">
        <f t="shared" si="57"/>
        <v>15</v>
      </c>
      <c r="N148" s="20">
        <f t="shared" si="57"/>
        <v>20</v>
      </c>
      <c r="O148" s="20">
        <f t="shared" si="57"/>
        <v>50</v>
      </c>
      <c r="P148" s="20">
        <f t="shared" si="57"/>
        <v>80</v>
      </c>
      <c r="Q148" s="20">
        <f t="shared" si="57"/>
        <v>15</v>
      </c>
      <c r="R148" s="20">
        <f t="shared" si="57"/>
        <v>35</v>
      </c>
      <c r="S148" s="20">
        <f t="shared" si="57"/>
        <v>10</v>
      </c>
      <c r="T148" s="20">
        <f t="shared" si="57"/>
        <v>15</v>
      </c>
      <c r="U148" s="20">
        <f t="shared" si="55"/>
        <v>30</v>
      </c>
      <c r="V148" s="20">
        <f t="shared" si="55"/>
        <v>30</v>
      </c>
      <c r="W148" s="20">
        <f t="shared" si="55"/>
        <v>30</v>
      </c>
      <c r="X148" s="20">
        <f t="shared" si="55"/>
        <v>40</v>
      </c>
      <c r="Y148" s="20">
        <f t="shared" si="55"/>
        <v>60</v>
      </c>
      <c r="Z148" s="20">
        <f t="shared" si="55"/>
        <v>15</v>
      </c>
      <c r="AA148" s="20">
        <f t="shared" si="55"/>
        <v>10</v>
      </c>
      <c r="AB148" s="20">
        <f t="shared" si="55"/>
        <v>10</v>
      </c>
      <c r="AC148" s="20">
        <f t="shared" si="55"/>
        <v>45</v>
      </c>
      <c r="AD148" s="20">
        <f t="shared" si="55"/>
        <v>15</v>
      </c>
      <c r="AE148" s="20">
        <f t="shared" si="55"/>
        <v>20</v>
      </c>
      <c r="AF148" s="20">
        <f t="shared" si="55"/>
        <v>35</v>
      </c>
      <c r="AG148" s="20">
        <f t="shared" si="55"/>
        <v>35</v>
      </c>
      <c r="AH148" s="20">
        <f t="shared" si="55"/>
        <v>25</v>
      </c>
      <c r="AI148" s="20">
        <f t="shared" si="55"/>
        <v>20</v>
      </c>
      <c r="AJ148" s="20">
        <f t="shared" si="55"/>
        <v>35</v>
      </c>
      <c r="AK148" s="20">
        <f t="shared" si="55"/>
        <v>40</v>
      </c>
      <c r="AL148" s="20">
        <f t="shared" si="55"/>
        <v>70</v>
      </c>
      <c r="AM148" s="20">
        <f t="shared" si="55"/>
        <v>20</v>
      </c>
      <c r="AN148" s="20">
        <f>IF(E148="",1,IF($D148&lt;E148,0,1))</f>
        <v>1</v>
      </c>
      <c r="AO148" s="20">
        <f t="shared" ref="AO148:AX150" si="58">IF(F148="",1,IF($D148&lt;F148,0,1))</f>
        <v>1</v>
      </c>
      <c r="AP148" s="20">
        <f t="shared" si="58"/>
        <v>1</v>
      </c>
      <c r="AQ148" s="20">
        <f t="shared" si="58"/>
        <v>1</v>
      </c>
      <c r="AR148" s="20">
        <f t="shared" si="58"/>
        <v>1</v>
      </c>
      <c r="AS148" s="20">
        <f t="shared" si="58"/>
        <v>1</v>
      </c>
      <c r="AT148" s="20">
        <f t="shared" si="58"/>
        <v>1</v>
      </c>
      <c r="AU148" s="20">
        <f t="shared" si="58"/>
        <v>1</v>
      </c>
      <c r="AV148" s="20">
        <f t="shared" si="58"/>
        <v>1</v>
      </c>
      <c r="AW148" s="20">
        <f t="shared" si="58"/>
        <v>1</v>
      </c>
      <c r="AX148" s="20">
        <f t="shared" si="58"/>
        <v>0</v>
      </c>
      <c r="AY148" s="20">
        <f t="shared" ref="AY148:BH150" si="59">IF(P148="",1,IF($D148&lt;P148,0,1))</f>
        <v>0</v>
      </c>
      <c r="AZ148" s="20">
        <f t="shared" si="59"/>
        <v>1</v>
      </c>
      <c r="BA148" s="20">
        <f t="shared" si="59"/>
        <v>1</v>
      </c>
      <c r="BB148" s="20">
        <f t="shared" si="59"/>
        <v>1</v>
      </c>
      <c r="BC148" s="20">
        <f t="shared" si="59"/>
        <v>1</v>
      </c>
      <c r="BD148" s="20">
        <f t="shared" si="59"/>
        <v>1</v>
      </c>
      <c r="BE148" s="20">
        <f t="shared" si="59"/>
        <v>1</v>
      </c>
      <c r="BF148" s="20">
        <f t="shared" si="59"/>
        <v>1</v>
      </c>
      <c r="BG148" s="20">
        <f t="shared" si="59"/>
        <v>1</v>
      </c>
      <c r="BH148" s="20">
        <f t="shared" si="59"/>
        <v>0</v>
      </c>
      <c r="BI148" s="20">
        <f t="shared" ref="BI148:BR150" si="60">IF(Z148="",1,IF($D148&lt;Z148,0,1))</f>
        <v>1</v>
      </c>
      <c r="BJ148" s="20">
        <f t="shared" si="60"/>
        <v>1</v>
      </c>
      <c r="BK148" s="20">
        <f t="shared" si="60"/>
        <v>1</v>
      </c>
      <c r="BL148" s="20">
        <f t="shared" si="60"/>
        <v>1</v>
      </c>
      <c r="BM148" s="20">
        <f t="shared" si="60"/>
        <v>1</v>
      </c>
      <c r="BN148" s="20">
        <f t="shared" si="60"/>
        <v>1</v>
      </c>
      <c r="BO148" s="20">
        <f t="shared" si="60"/>
        <v>1</v>
      </c>
      <c r="BP148" s="20">
        <f t="shared" si="60"/>
        <v>1</v>
      </c>
      <c r="BQ148" s="20">
        <f t="shared" si="60"/>
        <v>1</v>
      </c>
      <c r="BR148" s="20">
        <f t="shared" si="60"/>
        <v>1</v>
      </c>
      <c r="BS148" s="20">
        <f t="shared" ref="BS148:BV150" si="61">IF(AJ148="",1,IF($D148&lt;AJ148,0,1))</f>
        <v>1</v>
      </c>
      <c r="BT148" s="20">
        <f t="shared" si="61"/>
        <v>1</v>
      </c>
      <c r="BU148" s="20">
        <f t="shared" si="61"/>
        <v>0</v>
      </c>
      <c r="BV148" s="20">
        <f t="shared" si="61"/>
        <v>1</v>
      </c>
    </row>
    <row r="149" spans="1:75">
      <c r="A149" s="20" t="s">
        <v>250</v>
      </c>
      <c r="B149" s="20" t="str">
        <f>A134</f>
        <v>Union Square</v>
      </c>
      <c r="C149" s="20">
        <f>A135</f>
        <v>0.5</v>
      </c>
      <c r="D149" s="20">
        <f>A136</f>
        <v>90</v>
      </c>
      <c r="E149" s="20">
        <f>IF(LEFT($B149,3)="N/A","",INDEX($C$89:$AK$123,MATCH(E$146,$B$89:$B$123,FALSE),MATCH($B149,$C$88:$AK$88,FALSE)))</f>
        <v>20</v>
      </c>
      <c r="F149" s="20">
        <f t="shared" si="55"/>
        <v>20</v>
      </c>
      <c r="G149" s="20">
        <f t="shared" si="55"/>
        <v>15</v>
      </c>
      <c r="H149" s="20">
        <f t="shared" si="55"/>
        <v>30</v>
      </c>
      <c r="I149" s="20">
        <f t="shared" si="55"/>
        <v>20</v>
      </c>
      <c r="J149" s="20">
        <f t="shared" si="55"/>
        <v>15</v>
      </c>
      <c r="K149" s="20">
        <f t="shared" si="55"/>
        <v>10</v>
      </c>
      <c r="L149" s="20">
        <f t="shared" si="55"/>
        <v>15</v>
      </c>
      <c r="M149" s="20">
        <f t="shared" si="55"/>
        <v>10</v>
      </c>
      <c r="N149" s="20">
        <f t="shared" si="55"/>
        <v>10</v>
      </c>
      <c r="O149" s="20">
        <f t="shared" si="55"/>
        <v>40</v>
      </c>
      <c r="P149" s="20">
        <f t="shared" si="55"/>
        <v>50</v>
      </c>
      <c r="Q149" s="20">
        <f t="shared" si="55"/>
        <v>15</v>
      </c>
      <c r="R149" s="20">
        <f t="shared" si="55"/>
        <v>12.5</v>
      </c>
      <c r="S149" s="20">
        <f t="shared" si="55"/>
        <v>15</v>
      </c>
      <c r="T149" s="20">
        <f t="shared" si="55"/>
        <v>25</v>
      </c>
      <c r="U149" s="20">
        <f t="shared" si="55"/>
        <v>15</v>
      </c>
      <c r="V149" s="20">
        <f t="shared" si="55"/>
        <v>15</v>
      </c>
      <c r="W149" s="20">
        <f t="shared" si="55"/>
        <v>15</v>
      </c>
      <c r="X149" s="20">
        <f t="shared" si="55"/>
        <v>25</v>
      </c>
      <c r="Y149" s="20">
        <f t="shared" si="55"/>
        <v>40</v>
      </c>
      <c r="Z149" s="20">
        <f t="shared" si="55"/>
        <v>15</v>
      </c>
      <c r="AA149" s="20">
        <f t="shared" si="55"/>
        <v>10</v>
      </c>
      <c r="AB149" s="20">
        <f t="shared" si="55"/>
        <v>15</v>
      </c>
      <c r="AC149" s="20">
        <f t="shared" si="55"/>
        <v>30</v>
      </c>
      <c r="AD149" s="20">
        <f t="shared" si="55"/>
        <v>25</v>
      </c>
      <c r="AE149" s="20">
        <f t="shared" si="55"/>
        <v>15</v>
      </c>
      <c r="AF149" s="20">
        <f t="shared" si="55"/>
        <v>30</v>
      </c>
      <c r="AG149" s="20">
        <f t="shared" si="55"/>
        <v>15</v>
      </c>
      <c r="AH149" s="20">
        <f t="shared" si="55"/>
        <v>25</v>
      </c>
      <c r="AI149" s="20">
        <f t="shared" si="55"/>
        <v>0</v>
      </c>
      <c r="AJ149" s="20">
        <f t="shared" si="55"/>
        <v>20</v>
      </c>
      <c r="AK149" s="20">
        <f t="shared" si="55"/>
        <v>30</v>
      </c>
      <c r="AL149" s="20">
        <f t="shared" si="55"/>
        <v>50</v>
      </c>
      <c r="AM149" s="20">
        <f t="shared" si="55"/>
        <v>15</v>
      </c>
      <c r="AN149" s="20">
        <f>IF(E149="",1,IF($D149&lt;E149,0,1))</f>
        <v>1</v>
      </c>
      <c r="AO149" s="20">
        <f t="shared" si="58"/>
        <v>1</v>
      </c>
      <c r="AP149" s="20">
        <f t="shared" si="58"/>
        <v>1</v>
      </c>
      <c r="AQ149" s="20">
        <f t="shared" si="58"/>
        <v>1</v>
      </c>
      <c r="AR149" s="20">
        <f t="shared" si="58"/>
        <v>1</v>
      </c>
      <c r="AS149" s="20">
        <f t="shared" si="58"/>
        <v>1</v>
      </c>
      <c r="AT149" s="20">
        <f t="shared" si="58"/>
        <v>1</v>
      </c>
      <c r="AU149" s="20">
        <f t="shared" si="58"/>
        <v>1</v>
      </c>
      <c r="AV149" s="20">
        <f t="shared" si="58"/>
        <v>1</v>
      </c>
      <c r="AW149" s="20">
        <f t="shared" si="58"/>
        <v>1</v>
      </c>
      <c r="AX149" s="20">
        <f t="shared" si="58"/>
        <v>1</v>
      </c>
      <c r="AY149" s="20">
        <f t="shared" si="59"/>
        <v>1</v>
      </c>
      <c r="AZ149" s="20">
        <f t="shared" si="59"/>
        <v>1</v>
      </c>
      <c r="BA149" s="20">
        <f t="shared" si="59"/>
        <v>1</v>
      </c>
      <c r="BB149" s="20">
        <f t="shared" si="59"/>
        <v>1</v>
      </c>
      <c r="BC149" s="20">
        <f t="shared" si="59"/>
        <v>1</v>
      </c>
      <c r="BD149" s="20">
        <f t="shared" si="59"/>
        <v>1</v>
      </c>
      <c r="BE149" s="20">
        <f t="shared" si="59"/>
        <v>1</v>
      </c>
      <c r="BF149" s="20">
        <f t="shared" si="59"/>
        <v>1</v>
      </c>
      <c r="BG149" s="20">
        <f t="shared" si="59"/>
        <v>1</v>
      </c>
      <c r="BH149" s="20">
        <f t="shared" si="59"/>
        <v>1</v>
      </c>
      <c r="BI149" s="20">
        <f t="shared" si="60"/>
        <v>1</v>
      </c>
      <c r="BJ149" s="20">
        <f t="shared" si="60"/>
        <v>1</v>
      </c>
      <c r="BK149" s="20">
        <f t="shared" si="60"/>
        <v>1</v>
      </c>
      <c r="BL149" s="20">
        <f t="shared" si="60"/>
        <v>1</v>
      </c>
      <c r="BM149" s="20">
        <f t="shared" si="60"/>
        <v>1</v>
      </c>
      <c r="BN149" s="20">
        <f t="shared" si="60"/>
        <v>1</v>
      </c>
      <c r="BO149" s="20">
        <f t="shared" si="60"/>
        <v>1</v>
      </c>
      <c r="BP149" s="20">
        <f t="shared" si="60"/>
        <v>1</v>
      </c>
      <c r="BQ149" s="20">
        <f t="shared" si="60"/>
        <v>1</v>
      </c>
      <c r="BR149" s="20">
        <f t="shared" si="60"/>
        <v>1</v>
      </c>
      <c r="BS149" s="20">
        <f t="shared" si="61"/>
        <v>1</v>
      </c>
      <c r="BT149" s="20">
        <f t="shared" si="61"/>
        <v>1</v>
      </c>
      <c r="BU149" s="20">
        <f t="shared" si="61"/>
        <v>1</v>
      </c>
      <c r="BV149" s="20">
        <f t="shared" si="61"/>
        <v>1</v>
      </c>
    </row>
    <row r="150" spans="1:75">
      <c r="A150" s="20" t="s">
        <v>251</v>
      </c>
      <c r="B150" s="20" t="str">
        <f>A137</f>
        <v>Upper West Side</v>
      </c>
      <c r="C150" s="20">
        <f>A138</f>
        <v>0.5</v>
      </c>
      <c r="D150" s="20">
        <f>A139</f>
        <v>90</v>
      </c>
      <c r="E150" s="20">
        <f>IF(LEFT($B150,3)="N/A","",INDEX($C$89:$AK$123,MATCH(E$146,$B$89:$B$123,FALSE),MATCH($B150,$C$88:$AK$88,FALSE)))</f>
        <v>40</v>
      </c>
      <c r="F150" s="20">
        <f t="shared" si="55"/>
        <v>30</v>
      </c>
      <c r="G150" s="20">
        <f t="shared" si="55"/>
        <v>35</v>
      </c>
      <c r="H150" s="20">
        <f t="shared" si="55"/>
        <v>35</v>
      </c>
      <c r="I150" s="20">
        <f t="shared" si="55"/>
        <v>40</v>
      </c>
      <c r="J150" s="20">
        <f t="shared" si="55"/>
        <v>30</v>
      </c>
      <c r="K150" s="20">
        <f t="shared" si="55"/>
        <v>30</v>
      </c>
      <c r="L150" s="20">
        <f t="shared" si="55"/>
        <v>20</v>
      </c>
      <c r="M150" s="20">
        <f t="shared" si="55"/>
        <v>35</v>
      </c>
      <c r="N150" s="20">
        <f t="shared" si="55"/>
        <v>30</v>
      </c>
      <c r="O150" s="20">
        <f t="shared" si="55"/>
        <v>30</v>
      </c>
      <c r="P150" s="20">
        <f t="shared" si="55"/>
        <v>40</v>
      </c>
      <c r="Q150" s="20">
        <f t="shared" si="55"/>
        <v>40</v>
      </c>
      <c r="R150" s="20">
        <f t="shared" si="55"/>
        <v>25</v>
      </c>
      <c r="S150" s="20">
        <f t="shared" si="55"/>
        <v>35</v>
      </c>
      <c r="T150" s="20">
        <f t="shared" si="55"/>
        <v>35</v>
      </c>
      <c r="U150" s="20">
        <f t="shared" si="55"/>
        <v>25</v>
      </c>
      <c r="V150" s="20">
        <f t="shared" si="55"/>
        <v>30</v>
      </c>
      <c r="W150" s="20">
        <f t="shared" si="55"/>
        <v>25</v>
      </c>
      <c r="X150" s="20">
        <f t="shared" si="55"/>
        <v>20</v>
      </c>
      <c r="Y150" s="20">
        <f t="shared" si="55"/>
        <v>15</v>
      </c>
      <c r="Z150" s="20">
        <f t="shared" si="55"/>
        <v>35</v>
      </c>
      <c r="AA150" s="20">
        <f t="shared" si="55"/>
        <v>30</v>
      </c>
      <c r="AB150" s="20">
        <f t="shared" si="55"/>
        <v>35</v>
      </c>
      <c r="AC150" s="20">
        <f t="shared" si="55"/>
        <v>50</v>
      </c>
      <c r="AD150" s="20">
        <f t="shared" si="55"/>
        <v>30</v>
      </c>
      <c r="AE150" s="20">
        <f t="shared" si="55"/>
        <v>40</v>
      </c>
      <c r="AF150" s="20">
        <f t="shared" si="55"/>
        <v>40</v>
      </c>
      <c r="AG150" s="20">
        <f t="shared" si="55"/>
        <v>17.5</v>
      </c>
      <c r="AH150" s="20">
        <f t="shared" si="55"/>
        <v>30</v>
      </c>
      <c r="AI150" s="20">
        <f t="shared" si="55"/>
        <v>30</v>
      </c>
      <c r="AJ150" s="20">
        <f t="shared" si="55"/>
        <v>25</v>
      </c>
      <c r="AK150" s="20">
        <f t="shared" si="55"/>
        <v>0</v>
      </c>
      <c r="AL150" s="20">
        <f t="shared" si="55"/>
        <v>30</v>
      </c>
      <c r="AM150" s="20">
        <f t="shared" si="55"/>
        <v>30</v>
      </c>
      <c r="AN150" s="20">
        <f>IF(E150="",1,IF($D150&lt;E150,0,1))</f>
        <v>1</v>
      </c>
      <c r="AO150" s="20">
        <f t="shared" si="58"/>
        <v>1</v>
      </c>
      <c r="AP150" s="20">
        <f t="shared" si="58"/>
        <v>1</v>
      </c>
      <c r="AQ150" s="20">
        <f t="shared" si="58"/>
        <v>1</v>
      </c>
      <c r="AR150" s="20">
        <f t="shared" si="58"/>
        <v>1</v>
      </c>
      <c r="AS150" s="20">
        <f t="shared" si="58"/>
        <v>1</v>
      </c>
      <c r="AT150" s="20">
        <f t="shared" si="58"/>
        <v>1</v>
      </c>
      <c r="AU150" s="20">
        <f t="shared" si="58"/>
        <v>1</v>
      </c>
      <c r="AV150" s="20">
        <f t="shared" si="58"/>
        <v>1</v>
      </c>
      <c r="AW150" s="20">
        <f t="shared" si="58"/>
        <v>1</v>
      </c>
      <c r="AX150" s="20">
        <f t="shared" si="58"/>
        <v>1</v>
      </c>
      <c r="AY150" s="20">
        <f t="shared" si="59"/>
        <v>1</v>
      </c>
      <c r="AZ150" s="20">
        <f t="shared" si="59"/>
        <v>1</v>
      </c>
      <c r="BA150" s="20">
        <f t="shared" si="59"/>
        <v>1</v>
      </c>
      <c r="BB150" s="20">
        <f t="shared" si="59"/>
        <v>1</v>
      </c>
      <c r="BC150" s="20">
        <f t="shared" si="59"/>
        <v>1</v>
      </c>
      <c r="BD150" s="20">
        <f t="shared" si="59"/>
        <v>1</v>
      </c>
      <c r="BE150" s="20">
        <f t="shared" si="59"/>
        <v>1</v>
      </c>
      <c r="BF150" s="20">
        <f t="shared" si="59"/>
        <v>1</v>
      </c>
      <c r="BG150" s="20">
        <f t="shared" si="59"/>
        <v>1</v>
      </c>
      <c r="BH150" s="20">
        <f t="shared" si="59"/>
        <v>1</v>
      </c>
      <c r="BI150" s="20">
        <f t="shared" si="60"/>
        <v>1</v>
      </c>
      <c r="BJ150" s="20">
        <f t="shared" si="60"/>
        <v>1</v>
      </c>
      <c r="BK150" s="20">
        <f t="shared" si="60"/>
        <v>1</v>
      </c>
      <c r="BL150" s="20">
        <f t="shared" si="60"/>
        <v>1</v>
      </c>
      <c r="BM150" s="20">
        <f t="shared" si="60"/>
        <v>1</v>
      </c>
      <c r="BN150" s="20">
        <f t="shared" si="60"/>
        <v>1</v>
      </c>
      <c r="BO150" s="20">
        <f t="shared" si="60"/>
        <v>1</v>
      </c>
      <c r="BP150" s="20">
        <f t="shared" si="60"/>
        <v>1</v>
      </c>
      <c r="BQ150" s="20">
        <f t="shared" si="60"/>
        <v>1</v>
      </c>
      <c r="BR150" s="20">
        <f t="shared" si="60"/>
        <v>1</v>
      </c>
      <c r="BS150" s="20">
        <f t="shared" si="61"/>
        <v>1</v>
      </c>
      <c r="BT150" s="20">
        <f t="shared" si="61"/>
        <v>1</v>
      </c>
      <c r="BU150" s="20">
        <f t="shared" si="61"/>
        <v>1</v>
      </c>
      <c r="BV150" s="20">
        <f t="shared" si="61"/>
        <v>1</v>
      </c>
    </row>
    <row r="151" spans="1:75">
      <c r="D151" s="39" t="s">
        <v>104</v>
      </c>
      <c r="E151" s="20">
        <f>SUMPRODUCT($C147:$C150,E147:E150)</f>
        <v>320</v>
      </c>
      <c r="F151" s="20">
        <f t="shared" ref="F151:AM151" si="62">SUMPRODUCT($C147:$C150,F147:F150)</f>
        <v>415</v>
      </c>
      <c r="G151" s="20">
        <f t="shared" si="62"/>
        <v>245</v>
      </c>
      <c r="H151" s="20">
        <f t="shared" si="62"/>
        <v>792.5</v>
      </c>
      <c r="I151" s="20">
        <f t="shared" si="62"/>
        <v>330</v>
      </c>
      <c r="J151" s="20">
        <f t="shared" si="62"/>
        <v>262.5</v>
      </c>
      <c r="K151" s="20">
        <f t="shared" si="62"/>
        <v>380</v>
      </c>
      <c r="L151" s="20">
        <f t="shared" si="62"/>
        <v>507.5</v>
      </c>
      <c r="M151" s="20">
        <f t="shared" si="62"/>
        <v>392.5</v>
      </c>
      <c r="N151" s="20">
        <f t="shared" si="62"/>
        <v>380</v>
      </c>
      <c r="O151" s="20">
        <f t="shared" si="62"/>
        <v>835</v>
      </c>
      <c r="P151" s="20">
        <f t="shared" si="62"/>
        <v>1235</v>
      </c>
      <c r="Q151" s="20">
        <f t="shared" si="62"/>
        <v>397.5</v>
      </c>
      <c r="R151" s="20">
        <f t="shared" si="62"/>
        <v>598.75</v>
      </c>
      <c r="S151" s="20">
        <f t="shared" si="62"/>
        <v>305</v>
      </c>
      <c r="T151" s="20">
        <f t="shared" si="62"/>
        <v>400</v>
      </c>
      <c r="U151" s="20">
        <f t="shared" si="62"/>
        <v>510</v>
      </c>
      <c r="V151" s="20">
        <f t="shared" si="62"/>
        <v>562.5</v>
      </c>
      <c r="W151" s="20">
        <f t="shared" si="62"/>
        <v>510</v>
      </c>
      <c r="X151" s="20">
        <f t="shared" si="62"/>
        <v>692.5</v>
      </c>
      <c r="Y151" s="20">
        <f t="shared" si="62"/>
        <v>857.5</v>
      </c>
      <c r="Z151" s="20">
        <f t="shared" si="62"/>
        <v>395</v>
      </c>
      <c r="AA151" s="20">
        <f t="shared" si="62"/>
        <v>300</v>
      </c>
      <c r="AB151" s="20">
        <f t="shared" si="62"/>
        <v>305</v>
      </c>
      <c r="AC151" s="20">
        <f t="shared" si="62"/>
        <v>850</v>
      </c>
      <c r="AD151" s="20">
        <f t="shared" si="62"/>
        <v>297.5</v>
      </c>
      <c r="AE151" s="20">
        <f t="shared" si="62"/>
        <v>487.5</v>
      </c>
      <c r="AF151" s="20">
        <f t="shared" si="62"/>
        <v>665</v>
      </c>
      <c r="AG151" s="20">
        <f t="shared" si="62"/>
        <v>596.25</v>
      </c>
      <c r="AH151" s="20">
        <f t="shared" si="62"/>
        <v>377.5</v>
      </c>
      <c r="AI151" s="20">
        <f t="shared" si="62"/>
        <v>325</v>
      </c>
      <c r="AJ151" s="20">
        <f t="shared" si="62"/>
        <v>602.5</v>
      </c>
      <c r="AK151" s="20">
        <f t="shared" si="62"/>
        <v>635</v>
      </c>
      <c r="AL151" s="20">
        <f t="shared" si="62"/>
        <v>1050</v>
      </c>
      <c r="AM151" s="20">
        <f t="shared" si="62"/>
        <v>382.5</v>
      </c>
      <c r="AN151" s="20">
        <f>IF(PRODUCT(AN147:AN150)=0,0,1)</f>
        <v>1</v>
      </c>
      <c r="AO151" s="20">
        <f t="shared" ref="AO151:BV151" si="63">IF(PRODUCT(AO147:AO150)=0,0,1)</f>
        <v>1</v>
      </c>
      <c r="AP151" s="20">
        <f t="shared" si="63"/>
        <v>1</v>
      </c>
      <c r="AQ151" s="20">
        <f t="shared" si="63"/>
        <v>0</v>
      </c>
      <c r="AR151" s="20">
        <f t="shared" si="63"/>
        <v>1</v>
      </c>
      <c r="AS151" s="20">
        <f t="shared" si="63"/>
        <v>1</v>
      </c>
      <c r="AT151" s="20">
        <f t="shared" si="63"/>
        <v>1</v>
      </c>
      <c r="AU151" s="20">
        <f t="shared" si="63"/>
        <v>1</v>
      </c>
      <c r="AV151" s="20">
        <f t="shared" si="63"/>
        <v>1</v>
      </c>
      <c r="AW151" s="20">
        <f t="shared" si="63"/>
        <v>1</v>
      </c>
      <c r="AX151" s="20">
        <f t="shared" si="63"/>
        <v>0</v>
      </c>
      <c r="AY151" s="20">
        <f t="shared" si="63"/>
        <v>0</v>
      </c>
      <c r="AZ151" s="20">
        <f t="shared" si="63"/>
        <v>1</v>
      </c>
      <c r="BA151" s="20">
        <f t="shared" si="63"/>
        <v>1</v>
      </c>
      <c r="BB151" s="20">
        <f t="shared" si="63"/>
        <v>1</v>
      </c>
      <c r="BC151" s="20">
        <f t="shared" si="63"/>
        <v>1</v>
      </c>
      <c r="BD151" s="20">
        <f t="shared" si="63"/>
        <v>1</v>
      </c>
      <c r="BE151" s="20">
        <f t="shared" si="63"/>
        <v>1</v>
      </c>
      <c r="BF151" s="20">
        <f t="shared" si="63"/>
        <v>1</v>
      </c>
      <c r="BG151" s="20">
        <f t="shared" si="63"/>
        <v>1</v>
      </c>
      <c r="BH151" s="20">
        <f t="shared" si="63"/>
        <v>0</v>
      </c>
      <c r="BI151" s="20">
        <f t="shared" si="63"/>
        <v>1</v>
      </c>
      <c r="BJ151" s="20">
        <f t="shared" si="63"/>
        <v>1</v>
      </c>
      <c r="BK151" s="20">
        <f t="shared" si="63"/>
        <v>1</v>
      </c>
      <c r="BL151" s="20">
        <f t="shared" si="63"/>
        <v>0</v>
      </c>
      <c r="BM151" s="20">
        <f t="shared" si="63"/>
        <v>1</v>
      </c>
      <c r="BN151" s="20">
        <f t="shared" si="63"/>
        <v>1</v>
      </c>
      <c r="BO151" s="20">
        <f t="shared" si="63"/>
        <v>1</v>
      </c>
      <c r="BP151" s="20">
        <f t="shared" si="63"/>
        <v>1</v>
      </c>
      <c r="BQ151" s="20">
        <f t="shared" si="63"/>
        <v>1</v>
      </c>
      <c r="BR151" s="20">
        <f t="shared" si="63"/>
        <v>1</v>
      </c>
      <c r="BS151" s="20">
        <f t="shared" si="63"/>
        <v>1</v>
      </c>
      <c r="BT151" s="20">
        <f t="shared" si="63"/>
        <v>1</v>
      </c>
      <c r="BU151" s="20">
        <f t="shared" si="63"/>
        <v>0</v>
      </c>
      <c r="BV151" s="20">
        <f t="shared" si="63"/>
        <v>1</v>
      </c>
      <c r="BW151" s="21"/>
    </row>
    <row r="152" spans="1:75">
      <c r="D152" s="39" t="s">
        <v>258</v>
      </c>
      <c r="E152" s="37">
        <f>AVERAGE(E151:AM151)</f>
        <v>519.92857142857144</v>
      </c>
    </row>
    <row r="153" spans="1:75">
      <c r="D153" s="39" t="s">
        <v>259</v>
      </c>
      <c r="E153" s="37">
        <f>STDEV(E151:AM151)</f>
        <v>234.62088922272852</v>
      </c>
    </row>
    <row r="154" spans="1:75">
      <c r="D154" s="39" t="s">
        <v>257</v>
      </c>
      <c r="E154" s="20">
        <f>NORMDIST(E151,$E$152,$E$153,TRUE)</f>
        <v>0.19706970231889931</v>
      </c>
      <c r="F154" s="20">
        <f t="shared" ref="F154:AM154" si="64">NORMDIST(F151,$E$152,$E$153,TRUE)</f>
        <v>0.32735593046268263</v>
      </c>
      <c r="G154" s="20">
        <f t="shared" si="64"/>
        <v>0.12063884101336675</v>
      </c>
      <c r="H154" s="20">
        <f t="shared" si="64"/>
        <v>0.87733201399333527</v>
      </c>
      <c r="I154" s="20">
        <f t="shared" si="64"/>
        <v>0.20911017252660624</v>
      </c>
      <c r="J154" s="20">
        <f t="shared" si="64"/>
        <v>0.13627462853475203</v>
      </c>
      <c r="K154" s="20">
        <f t="shared" si="64"/>
        <v>0.27545306219851395</v>
      </c>
      <c r="L154" s="20">
        <f t="shared" si="64"/>
        <v>0.47887671177862534</v>
      </c>
      <c r="M154" s="20">
        <f t="shared" si="64"/>
        <v>0.29352172224766271</v>
      </c>
      <c r="N154" s="20">
        <f t="shared" si="64"/>
        <v>0.27545306219851395</v>
      </c>
      <c r="O154" s="20">
        <f t="shared" si="64"/>
        <v>0.91034715676520095</v>
      </c>
      <c r="P154" s="20">
        <f t="shared" si="64"/>
        <v>0.99884728350647101</v>
      </c>
      <c r="Q154" s="20">
        <f t="shared" si="64"/>
        <v>0.30089976214073177</v>
      </c>
      <c r="R154" s="20">
        <f t="shared" si="64"/>
        <v>0.63154658344041559</v>
      </c>
      <c r="S154" s="20">
        <f t="shared" si="64"/>
        <v>0.17981574630395947</v>
      </c>
      <c r="T154" s="20">
        <f t="shared" si="64"/>
        <v>0.30461987413320801</v>
      </c>
      <c r="U154" s="20">
        <f t="shared" si="64"/>
        <v>0.4831227940888021</v>
      </c>
      <c r="V154" s="20">
        <f t="shared" si="64"/>
        <v>0.57199192262565424</v>
      </c>
      <c r="W154" s="20">
        <f t="shared" si="64"/>
        <v>0.4831227940888021</v>
      </c>
      <c r="X154" s="20">
        <f t="shared" si="64"/>
        <v>0.76899255364425589</v>
      </c>
      <c r="Y154" s="20">
        <f t="shared" si="64"/>
        <v>0.92489573329367392</v>
      </c>
      <c r="Z154" s="20">
        <f t="shared" si="64"/>
        <v>0.29720027707538721</v>
      </c>
      <c r="AA154" s="20">
        <f t="shared" si="64"/>
        <v>0.17428195447270634</v>
      </c>
      <c r="AB154" s="20">
        <f t="shared" si="64"/>
        <v>0.17981574630395947</v>
      </c>
      <c r="AC154" s="20">
        <f t="shared" si="64"/>
        <v>0.92026092267891624</v>
      </c>
      <c r="AD154" s="20">
        <f t="shared" si="64"/>
        <v>0.17155608222151342</v>
      </c>
      <c r="AE154" s="20">
        <f t="shared" si="64"/>
        <v>0.4450345004451306</v>
      </c>
      <c r="AF154" s="20">
        <f t="shared" si="64"/>
        <v>0.73181868899077096</v>
      </c>
      <c r="AG154" s="20">
        <f t="shared" si="64"/>
        <v>0.62752178034374073</v>
      </c>
      <c r="AH154" s="20">
        <f t="shared" si="64"/>
        <v>0.27190609254397602</v>
      </c>
      <c r="AI154" s="20">
        <f t="shared" si="64"/>
        <v>0.2030366447101386</v>
      </c>
      <c r="AJ154" s="20">
        <f t="shared" si="64"/>
        <v>0.6375566962348953</v>
      </c>
      <c r="AK154" s="20">
        <f t="shared" si="64"/>
        <v>0.68809468116475858</v>
      </c>
      <c r="AL154" s="20">
        <f t="shared" si="64"/>
        <v>0.98806663529815308</v>
      </c>
      <c r="AM154" s="20">
        <f t="shared" si="64"/>
        <v>0.27902264427602164</v>
      </c>
    </row>
    <row r="155" spans="1:75">
      <c r="D155" s="39" t="s">
        <v>102</v>
      </c>
      <c r="E155" s="40">
        <f>IF(AN151=0,"DQ",10-E154*10)</f>
        <v>8.0293029768110067</v>
      </c>
      <c r="F155" s="40">
        <f t="shared" ref="F155:AM155" si="65">IF(AO151=0,"DQ",10-F154*10)</f>
        <v>6.7264406953731735</v>
      </c>
      <c r="G155" s="40">
        <f t="shared" si="65"/>
        <v>8.7936115898663321</v>
      </c>
      <c r="H155" s="40" t="str">
        <f t="shared" si="65"/>
        <v>DQ</v>
      </c>
      <c r="I155" s="40">
        <f t="shared" si="65"/>
        <v>7.9088982747339376</v>
      </c>
      <c r="J155" s="40">
        <f t="shared" si="65"/>
        <v>8.6372537146524806</v>
      </c>
      <c r="K155" s="40">
        <f t="shared" si="65"/>
        <v>7.2454693780148602</v>
      </c>
      <c r="L155" s="40">
        <f t="shared" si="65"/>
        <v>5.2112328822137464</v>
      </c>
      <c r="M155" s="40">
        <f t="shared" si="65"/>
        <v>7.0647827775233729</v>
      </c>
      <c r="N155" s="40">
        <f t="shared" si="65"/>
        <v>7.2454693780148602</v>
      </c>
      <c r="O155" s="40" t="str">
        <f t="shared" si="65"/>
        <v>DQ</v>
      </c>
      <c r="P155" s="40" t="str">
        <f t="shared" si="65"/>
        <v>DQ</v>
      </c>
      <c r="Q155" s="40">
        <f t="shared" si="65"/>
        <v>6.9910023785926825</v>
      </c>
      <c r="R155" s="40">
        <f t="shared" si="65"/>
        <v>3.6845341655958439</v>
      </c>
      <c r="S155" s="40">
        <f t="shared" si="65"/>
        <v>8.201842536960406</v>
      </c>
      <c r="T155" s="40">
        <f t="shared" si="65"/>
        <v>6.9538012586679194</v>
      </c>
      <c r="U155" s="40">
        <f t="shared" si="65"/>
        <v>5.168772059111979</v>
      </c>
      <c r="V155" s="40">
        <f t="shared" si="65"/>
        <v>4.2800807737434576</v>
      </c>
      <c r="W155" s="40">
        <f t="shared" si="65"/>
        <v>5.168772059111979</v>
      </c>
      <c r="X155" s="40">
        <f t="shared" si="65"/>
        <v>2.3100744635574415</v>
      </c>
      <c r="Y155" s="40" t="str">
        <f t="shared" si="65"/>
        <v>DQ</v>
      </c>
      <c r="Z155" s="40">
        <f t="shared" si="65"/>
        <v>7.0279972292461279</v>
      </c>
      <c r="AA155" s="40">
        <f t="shared" si="65"/>
        <v>8.2571804552729375</v>
      </c>
      <c r="AB155" s="40">
        <f t="shared" si="65"/>
        <v>8.201842536960406</v>
      </c>
      <c r="AC155" s="40" t="str">
        <f t="shared" si="65"/>
        <v>DQ</v>
      </c>
      <c r="AD155" s="40">
        <f t="shared" si="65"/>
        <v>8.2844391777848649</v>
      </c>
      <c r="AE155" s="40">
        <f t="shared" si="65"/>
        <v>5.5496549955486945</v>
      </c>
      <c r="AF155" s="40">
        <f t="shared" si="65"/>
        <v>2.6818131100922908</v>
      </c>
      <c r="AG155" s="40">
        <f t="shared" si="65"/>
        <v>3.7247821965625931</v>
      </c>
      <c r="AH155" s="40">
        <f t="shared" si="65"/>
        <v>7.2809390745602398</v>
      </c>
      <c r="AI155" s="40">
        <f t="shared" si="65"/>
        <v>7.969633552898614</v>
      </c>
      <c r="AJ155" s="40">
        <f t="shared" si="65"/>
        <v>3.6244330376510465</v>
      </c>
      <c r="AK155" s="40">
        <f t="shared" si="65"/>
        <v>3.1190531883524137</v>
      </c>
      <c r="AL155" s="40" t="str">
        <f t="shared" si="65"/>
        <v>DQ</v>
      </c>
      <c r="AM155" s="40">
        <f t="shared" si="65"/>
        <v>7.2097735572397834</v>
      </c>
    </row>
    <row r="156" spans="1:75">
      <c r="D156" s="39" t="s">
        <v>88</v>
      </c>
      <c r="E156" s="20">
        <f>IF(E155="DQ",-100000,E155*Inputs!$B$9)</f>
        <v>24.08790893043302</v>
      </c>
      <c r="F156" s="20">
        <f>IF(F155="DQ",-100000,F155*Inputs!$B$9)</f>
        <v>20.179322086119519</v>
      </c>
      <c r="G156" s="20">
        <f>IF(G155="DQ",-100000,G155*Inputs!$B$9)</f>
        <v>26.380834769598998</v>
      </c>
      <c r="H156" s="20">
        <f>IF(H155="DQ",-100000,H155*Inputs!$B$9)</f>
        <v>-100000</v>
      </c>
      <c r="I156" s="20">
        <f>IF(I155="DQ",-100000,I155*Inputs!$B$9)</f>
        <v>23.726694824201815</v>
      </c>
      <c r="J156" s="20">
        <f>IF(J155="DQ",-100000,J155*Inputs!$B$9)</f>
        <v>25.911761143957442</v>
      </c>
      <c r="K156" s="20">
        <f>IF(K155="DQ",-100000,K155*Inputs!$B$9)</f>
        <v>21.736408134044581</v>
      </c>
      <c r="L156" s="20">
        <f>IF(L155="DQ",-100000,L155*Inputs!$B$9)</f>
        <v>15.633698646641239</v>
      </c>
      <c r="M156" s="20">
        <f>IF(M155="DQ",-100000,M155*Inputs!$B$9)</f>
        <v>21.194348332570119</v>
      </c>
      <c r="N156" s="20">
        <f>IF(N155="DQ",-100000,N155*Inputs!$B$9)</f>
        <v>21.736408134044581</v>
      </c>
      <c r="O156" s="20">
        <f>IF(O155="DQ",-100000,O155*Inputs!$B$9)</f>
        <v>-100000</v>
      </c>
      <c r="P156" s="20">
        <f>IF(P155="DQ",-100000,P155*Inputs!$B$9)</f>
        <v>-100000</v>
      </c>
      <c r="Q156" s="20">
        <f>IF(Q155="DQ",-100000,Q155*Inputs!$B$9)</f>
        <v>20.973007135778047</v>
      </c>
      <c r="R156" s="20">
        <f>IF(R155="DQ",-100000,R155*Inputs!$B$9)</f>
        <v>11.053602496787532</v>
      </c>
      <c r="S156" s="20">
        <f>IF(S155="DQ",-100000,S155*Inputs!$B$9)</f>
        <v>24.605527610881218</v>
      </c>
      <c r="T156" s="20">
        <f>IF(T155="DQ",-100000,T155*Inputs!$B$9)</f>
        <v>20.861403776003758</v>
      </c>
      <c r="U156" s="20">
        <f>IF(U155="DQ",-100000,U155*Inputs!$B$9)</f>
        <v>15.506316177335936</v>
      </c>
      <c r="V156" s="20">
        <f>IF(V155="DQ",-100000,V155*Inputs!$B$9)</f>
        <v>12.840242321230374</v>
      </c>
      <c r="W156" s="20">
        <f>IF(W155="DQ",-100000,W155*Inputs!$B$9)</f>
        <v>15.506316177335936</v>
      </c>
      <c r="X156" s="20">
        <f>IF(X155="DQ",-100000,X155*Inputs!$B$9)</f>
        <v>6.9302233906723245</v>
      </c>
      <c r="Y156" s="20">
        <f>IF(Y155="DQ",-100000,Y155*Inputs!$B$9)</f>
        <v>-100000</v>
      </c>
      <c r="Z156" s="20">
        <f>IF(Z155="DQ",-100000,Z155*Inputs!$B$9)</f>
        <v>21.083991687738383</v>
      </c>
      <c r="AA156" s="20">
        <f>IF(AA155="DQ",-100000,AA155*Inputs!$B$9)</f>
        <v>24.771541365818813</v>
      </c>
      <c r="AB156" s="20">
        <f>IF(AB155="DQ",-100000,AB155*Inputs!$B$9)</f>
        <v>24.605527610881218</v>
      </c>
      <c r="AC156" s="20">
        <f>IF(AC155="DQ",-100000,AC155*Inputs!$B$9)</f>
        <v>-100000</v>
      </c>
      <c r="AD156" s="20">
        <f>IF(AD155="DQ",-100000,AD155*Inputs!$B$9)</f>
        <v>24.853317533354595</v>
      </c>
      <c r="AE156" s="20">
        <f>IF(AE155="DQ",-100000,AE155*Inputs!$B$9)</f>
        <v>16.648964986646085</v>
      </c>
      <c r="AF156" s="20">
        <f>IF(AF155="DQ",-100000,AF155*Inputs!$B$9)</f>
        <v>8.0454393302768725</v>
      </c>
      <c r="AG156" s="20">
        <f>IF(AG155="DQ",-100000,AG155*Inputs!$B$9)</f>
        <v>11.174346589687779</v>
      </c>
      <c r="AH156" s="20">
        <f>IF(AH155="DQ",-100000,AH155*Inputs!$B$9)</f>
        <v>21.842817223680719</v>
      </c>
      <c r="AI156" s="20">
        <f>IF(AI155="DQ",-100000,AI155*Inputs!$B$9)</f>
        <v>23.908900658695842</v>
      </c>
      <c r="AJ156" s="20">
        <f>IF(AJ155="DQ",-100000,AJ155*Inputs!$B$9)</f>
        <v>10.87329911295314</v>
      </c>
      <c r="AK156" s="20">
        <f>IF(AK155="DQ",-100000,AK155*Inputs!$B$9)</f>
        <v>9.3571595650572412</v>
      </c>
      <c r="AL156" s="20">
        <f>IF(AL155="DQ",-100000,AL155*Inputs!$B$9)</f>
        <v>-100000</v>
      </c>
      <c r="AM156" s="20">
        <f>IF(AM155="DQ",-100000,AM155*Inputs!$B$9)</f>
        <v>21.629320671719348</v>
      </c>
    </row>
  </sheetData>
  <phoneticPr fontId="11" type="noConversion"/>
  <pageMargins left="0.75" right="0.75" top="1" bottom="1" header="0.5" footer="0.5"/>
  <pageSetup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2"/>
  <sheetViews>
    <sheetView zoomScale="90" zoomScaleNormal="90" workbookViewId="0"/>
  </sheetViews>
  <sheetFormatPr defaultRowHeight="15"/>
  <cols>
    <col min="1" max="1" width="3" bestFit="1" customWidth="1"/>
    <col min="2" max="2" width="27.42578125" bestFit="1" customWidth="1"/>
    <col min="3" max="3" width="31.28515625" bestFit="1" customWidth="1"/>
    <col min="4" max="4" width="0" hidden="1" customWidth="1"/>
    <col min="5" max="6" width="11.140625" customWidth="1"/>
    <col min="7" max="9" width="11.140625" style="22" customWidth="1"/>
    <col min="10" max="10" width="11.140625" style="22" hidden="1" customWidth="1"/>
    <col min="11" max="11" width="11.140625" style="126" customWidth="1"/>
    <col min="13" max="13" width="9.42578125" style="50" bestFit="1" customWidth="1"/>
    <col min="14" max="14" width="9.140625" style="15"/>
    <col min="15" max="15" width="9.5703125" bestFit="1" customWidth="1"/>
  </cols>
  <sheetData>
    <row r="1" spans="1:15" ht="15.75" thickBot="1">
      <c r="F1" s="27" t="s">
        <v>276</v>
      </c>
      <c r="G1" s="22">
        <f>AVERAGE(G4:G38)</f>
        <v>10.79418416519699</v>
      </c>
      <c r="H1"/>
      <c r="I1" s="27" t="s">
        <v>264</v>
      </c>
      <c r="J1"/>
      <c r="K1" s="22">
        <f>AVERAGE(K4:K38)</f>
        <v>61.301587301587304</v>
      </c>
      <c r="L1" s="27" t="s">
        <v>276</v>
      </c>
      <c r="M1" s="22">
        <f>AVERAGE(M4:M38)</f>
        <v>88.642083231710544</v>
      </c>
      <c r="O1" t="s">
        <v>264</v>
      </c>
    </row>
    <row r="2" spans="1:15" ht="15.75" thickBot="1">
      <c r="F2" s="27" t="s">
        <v>277</v>
      </c>
      <c r="G2" s="22">
        <f>STDEV(G4:G38)</f>
        <v>2.6708451002364848</v>
      </c>
      <c r="H2"/>
      <c r="I2" s="48">
        <f>Inputs!B23</f>
        <v>12</v>
      </c>
      <c r="J2" s="125"/>
      <c r="K2" s="22">
        <f>STDEV(K4:K38)</f>
        <v>55.855579227906553</v>
      </c>
      <c r="L2" s="27" t="s">
        <v>277</v>
      </c>
      <c r="M2" s="22">
        <f>STDEV(M4:M38)</f>
        <v>94.539272369556613</v>
      </c>
      <c r="O2" s="48">
        <f>Inputs!B22</f>
        <v>57</v>
      </c>
    </row>
    <row r="3" spans="1:15" s="23" customFormat="1" ht="60">
      <c r="C3" s="23" t="s">
        <v>169</v>
      </c>
      <c r="E3" s="12" t="s">
        <v>170</v>
      </c>
      <c r="F3" s="12" t="s">
        <v>171</v>
      </c>
      <c r="G3" s="24" t="s">
        <v>172</v>
      </c>
      <c r="H3" s="47" t="s">
        <v>262</v>
      </c>
      <c r="I3" s="12" t="s">
        <v>291</v>
      </c>
      <c r="J3" s="12"/>
      <c r="K3" s="127" t="s">
        <v>293</v>
      </c>
      <c r="L3" s="23" t="s">
        <v>95</v>
      </c>
      <c r="M3" s="51" t="s">
        <v>270</v>
      </c>
      <c r="N3" s="130" t="s">
        <v>262</v>
      </c>
      <c r="O3" s="12" t="s">
        <v>292</v>
      </c>
    </row>
    <row r="4" spans="1:15">
      <c r="A4">
        <v>1</v>
      </c>
      <c r="B4" t="s">
        <v>11</v>
      </c>
      <c r="C4" t="s">
        <v>173</v>
      </c>
      <c r="E4">
        <v>31</v>
      </c>
      <c r="F4">
        <f>12+10+16+6+3+11+15+18+8+8+30+2+10+8+6+0+8+12+5+6+6+5+16+10+25+7+17+8+18+8+21</f>
        <v>335</v>
      </c>
      <c r="G4" s="22">
        <f>F4/E4</f>
        <v>10.806451612903226</v>
      </c>
      <c r="H4" s="49">
        <f>NORMDIST(G4,$G$1,$G$2,TRUE)*10</f>
        <v>5.0183237371366216</v>
      </c>
      <c r="I4" s="22">
        <f>H4*$I$2</f>
        <v>60.219884845639456</v>
      </c>
      <c r="K4" s="126">
        <v>3</v>
      </c>
      <c r="L4">
        <f>VLOOKUP(B4,Size!$A$2:$D$36,4,)</f>
        <v>0.4</v>
      </c>
      <c r="M4" s="50">
        <f>K4/L4</f>
        <v>7.5</v>
      </c>
      <c r="N4" s="74">
        <f>NORMDIST(M4,$M$1,$M$2,TRUE)*5+NORMDIST(K4,$K$1,$K$2,TRUE)*5</f>
        <v>1.7182857830360381</v>
      </c>
      <c r="O4" s="22">
        <f>N4*$O$2</f>
        <v>97.942289633054173</v>
      </c>
    </row>
    <row r="5" spans="1:15">
      <c r="A5">
        <f t="shared" ref="A5:A38" si="0">+A4+1</f>
        <v>2</v>
      </c>
      <c r="B5" t="s">
        <v>13</v>
      </c>
      <c r="C5" t="s">
        <v>174</v>
      </c>
      <c r="E5">
        <v>7</v>
      </c>
      <c r="F5">
        <f>0+0+7+12+0+0+13</f>
        <v>32</v>
      </c>
      <c r="G5" s="22">
        <f>F5/E5</f>
        <v>4.5714285714285712</v>
      </c>
      <c r="H5" s="49">
        <f t="shared" ref="H5:H38" si="1">NORMDIST(G5,$G$1,$G$2,TRUE)*10</f>
        <v>9.9061777855358191E-2</v>
      </c>
      <c r="I5" s="22">
        <f t="shared" ref="I5:I38" si="2">H5*$I$2</f>
        <v>1.1887413342642983</v>
      </c>
      <c r="K5" s="126">
        <v>92</v>
      </c>
      <c r="L5">
        <f>VLOOKUP(B5,Size!$A$2:$D$36,4,)</f>
        <v>2.5920000000000005</v>
      </c>
      <c r="M5" s="50">
        <f t="shared" ref="M5:M38" si="3">K5/L5</f>
        <v>35.493827160493822</v>
      </c>
      <c r="N5" s="74">
        <f t="shared" ref="N5:N38" si="4">NORMDIST(M5,$M$1,$M$2,TRUE)*5+NORMDIST(K5,$K$1,$K$2,TRUE)*5</f>
        <v>4.978501766067696</v>
      </c>
      <c r="O5" s="22">
        <f t="shared" ref="O5:O38" si="5">N5*$O$2</f>
        <v>283.77460066585866</v>
      </c>
    </row>
    <row r="6" spans="1:15">
      <c r="A6">
        <f t="shared" si="0"/>
        <v>3</v>
      </c>
      <c r="B6" s="25" t="s">
        <v>14</v>
      </c>
      <c r="C6" s="25" t="str">
        <f>C33</f>
        <v>SOHO / Tribeca / Financial District</v>
      </c>
      <c r="E6" s="25">
        <f>E33</f>
        <v>31</v>
      </c>
      <c r="F6" s="25">
        <f>F33</f>
        <v>335</v>
      </c>
      <c r="G6" s="26">
        <f>G33</f>
        <v>10.806451612903226</v>
      </c>
      <c r="H6" s="49">
        <f t="shared" si="1"/>
        <v>5.0183237371366216</v>
      </c>
      <c r="I6" s="22">
        <f>H6*$I$2</f>
        <v>60.219884845639456</v>
      </c>
      <c r="K6" s="126">
        <v>28</v>
      </c>
      <c r="L6">
        <f>VLOOKUP(B6,Size!$A$2:$D$36,4,)</f>
        <v>0.38880000000000003</v>
      </c>
      <c r="M6" s="50">
        <f t="shared" si="3"/>
        <v>72.016460905349788</v>
      </c>
      <c r="N6" s="74">
        <f t="shared" si="4"/>
        <v>3.5286003371739527</v>
      </c>
      <c r="O6" s="22">
        <f t="shared" si="5"/>
        <v>201.1302192189153</v>
      </c>
    </row>
    <row r="7" spans="1:15">
      <c r="A7">
        <f t="shared" si="0"/>
        <v>4</v>
      </c>
      <c r="B7" t="s">
        <v>17</v>
      </c>
      <c r="C7" t="s">
        <v>175</v>
      </c>
      <c r="E7">
        <v>5</v>
      </c>
      <c r="F7">
        <f>10+7+6+0+17</f>
        <v>40</v>
      </c>
      <c r="G7" s="22">
        <f>F7/E7</f>
        <v>8</v>
      </c>
      <c r="H7" s="49">
        <f t="shared" si="1"/>
        <v>1.477390160434463</v>
      </c>
      <c r="I7" s="22">
        <f t="shared" si="2"/>
        <v>17.728681925213557</v>
      </c>
      <c r="K7" s="126">
        <v>15</v>
      </c>
      <c r="L7">
        <f>VLOOKUP(B7,Size!$A$2:$D$36,4,)</f>
        <v>5.5944000000000003</v>
      </c>
      <c r="M7" s="50">
        <f t="shared" si="3"/>
        <v>2.6812526812526811</v>
      </c>
      <c r="N7" s="74">
        <f t="shared" si="4"/>
        <v>1.9258606213243712</v>
      </c>
      <c r="O7" s="22">
        <f t="shared" si="5"/>
        <v>109.77405541548916</v>
      </c>
    </row>
    <row r="8" spans="1:15">
      <c r="A8">
        <f t="shared" si="0"/>
        <v>5</v>
      </c>
      <c r="B8" t="s">
        <v>18</v>
      </c>
      <c r="C8" t="s">
        <v>176</v>
      </c>
      <c r="E8">
        <v>44</v>
      </c>
      <c r="F8">
        <f>10+9+6+0+0+6+0+4+7+0+12+0+0+8+18+12+16+6+12+24+0+4+6+12+13+12+3+11+3+13+25+1+6+19+40+12+17+23+12+2+10+3+24+12</f>
        <v>433</v>
      </c>
      <c r="G8" s="22">
        <f>F8/E8</f>
        <v>9.8409090909090917</v>
      </c>
      <c r="H8" s="49">
        <f t="shared" si="1"/>
        <v>3.6057626302559087</v>
      </c>
      <c r="I8" s="22">
        <f t="shared" si="2"/>
        <v>43.269151563070906</v>
      </c>
      <c r="K8" s="126">
        <v>264</v>
      </c>
      <c r="L8">
        <f>VLOOKUP(B8,Size!$A$2:$D$36,4,)</f>
        <v>2.1168</v>
      </c>
      <c r="M8" s="50">
        <f t="shared" si="3"/>
        <v>124.71655328798185</v>
      </c>
      <c r="N8" s="74">
        <f t="shared" si="4"/>
        <v>8.2423597435985414</v>
      </c>
      <c r="O8" s="22">
        <f t="shared" si="5"/>
        <v>469.81450538511683</v>
      </c>
    </row>
    <row r="9" spans="1:15">
      <c r="A9">
        <f t="shared" si="0"/>
        <v>6</v>
      </c>
      <c r="B9" t="s">
        <v>19</v>
      </c>
      <c r="C9" t="s">
        <v>173</v>
      </c>
      <c r="E9">
        <f>E4</f>
        <v>31</v>
      </c>
      <c r="F9">
        <f>F4</f>
        <v>335</v>
      </c>
      <c r="G9" s="22">
        <f>G4</f>
        <v>10.806451612903226</v>
      </c>
      <c r="H9" s="49">
        <f t="shared" si="1"/>
        <v>5.0183237371366216</v>
      </c>
      <c r="I9" s="22">
        <f t="shared" si="2"/>
        <v>60.219884845639456</v>
      </c>
      <c r="K9" s="126">
        <v>48</v>
      </c>
      <c r="L9">
        <f>VLOOKUP(B9,Size!$A$2:$D$36,4,)</f>
        <v>0.64800000000000013</v>
      </c>
      <c r="M9" s="50">
        <f t="shared" si="3"/>
        <v>74.074074074074062</v>
      </c>
      <c r="N9" s="74">
        <f t="shared" si="4"/>
        <v>4.2232639243569405</v>
      </c>
      <c r="O9" s="22">
        <f t="shared" si="5"/>
        <v>240.72604368834561</v>
      </c>
    </row>
    <row r="10" spans="1:15">
      <c r="A10">
        <f t="shared" si="0"/>
        <v>7</v>
      </c>
      <c r="B10" s="25" t="s">
        <v>20</v>
      </c>
      <c r="C10" s="25" t="str">
        <f>C12</f>
        <v>Grammercy</v>
      </c>
      <c r="E10" s="25">
        <f>E12</f>
        <v>5</v>
      </c>
      <c r="F10" s="25">
        <f>F12</f>
        <v>56</v>
      </c>
      <c r="G10" s="26">
        <f>G12</f>
        <v>11.2</v>
      </c>
      <c r="H10" s="49">
        <f t="shared" si="1"/>
        <v>5.6038399710162476</v>
      </c>
      <c r="I10" s="22">
        <f t="shared" si="2"/>
        <v>67.246079652194965</v>
      </c>
      <c r="K10" s="129">
        <f>115-K12</f>
        <v>70</v>
      </c>
      <c r="L10">
        <f>VLOOKUP(B10,Size!$A$2:$D$36,4,)</f>
        <v>0.47520000000000007</v>
      </c>
      <c r="M10" s="50">
        <f t="shared" si="3"/>
        <v>147.30639730639729</v>
      </c>
      <c r="N10" s="74">
        <f t="shared" si="4"/>
        <v>6.47211148057964</v>
      </c>
      <c r="O10" s="22">
        <f t="shared" si="5"/>
        <v>368.91035439303948</v>
      </c>
    </row>
    <row r="11" spans="1:15">
      <c r="A11">
        <f t="shared" si="0"/>
        <v>8</v>
      </c>
      <c r="B11" s="25" t="s">
        <v>21</v>
      </c>
      <c r="C11" s="25" t="str">
        <f>C23</f>
        <v>Midtown West</v>
      </c>
      <c r="E11" s="25">
        <f>E23</f>
        <v>16</v>
      </c>
      <c r="F11" s="25">
        <f>F23</f>
        <v>230</v>
      </c>
      <c r="G11" s="26">
        <f>G23</f>
        <v>14.375</v>
      </c>
      <c r="H11" s="49">
        <f t="shared" si="1"/>
        <v>9.0999190237268994</v>
      </c>
      <c r="I11" s="22">
        <f t="shared" si="2"/>
        <v>109.1990282847228</v>
      </c>
      <c r="K11" s="126">
        <f>K23</f>
        <v>57.666666666666664</v>
      </c>
      <c r="L11">
        <f>VLOOKUP(B11,Size!$A$2:$D$36,4,)</f>
        <v>0.69120000000000004</v>
      </c>
      <c r="M11" s="50">
        <f t="shared" si="3"/>
        <v>83.429783950617278</v>
      </c>
      <c r="N11" s="74">
        <f t="shared" si="4"/>
        <v>4.7603613624126524</v>
      </c>
      <c r="O11" s="22">
        <f t="shared" si="5"/>
        <v>271.34059765752119</v>
      </c>
    </row>
    <row r="12" spans="1:15">
      <c r="A12">
        <f t="shared" si="0"/>
        <v>9</v>
      </c>
      <c r="B12" t="s">
        <v>22</v>
      </c>
      <c r="C12" t="s">
        <v>177</v>
      </c>
      <c r="E12">
        <v>5</v>
      </c>
      <c r="F12">
        <f>12+8+12+10+14</f>
        <v>56</v>
      </c>
      <c r="G12" s="22">
        <f>F12/E12</f>
        <v>11.2</v>
      </c>
      <c r="H12" s="49">
        <f t="shared" si="1"/>
        <v>5.6038399710162476</v>
      </c>
      <c r="I12" s="22">
        <f t="shared" si="2"/>
        <v>67.246079652194965</v>
      </c>
      <c r="K12" s="126">
        <v>45</v>
      </c>
      <c r="L12">
        <f>VLOOKUP(B12,Size!$A$2:$D$36,4,)</f>
        <v>0.77760000000000007</v>
      </c>
      <c r="M12" s="50">
        <f t="shared" si="3"/>
        <v>57.870370370370367</v>
      </c>
      <c r="N12" s="74">
        <f t="shared" si="4"/>
        <v>3.7880217348518959</v>
      </c>
      <c r="O12" s="22">
        <f t="shared" si="5"/>
        <v>215.91723888655807</v>
      </c>
    </row>
    <row r="13" spans="1:15">
      <c r="A13">
        <f t="shared" si="0"/>
        <v>10</v>
      </c>
      <c r="B13" t="s">
        <v>23</v>
      </c>
      <c r="C13" s="25" t="str">
        <f>C38</f>
        <v>West Village</v>
      </c>
      <c r="E13" s="25">
        <f>E38</f>
        <v>21</v>
      </c>
      <c r="F13" s="25">
        <f>F38</f>
        <v>236</v>
      </c>
      <c r="G13" s="26">
        <f>G38</f>
        <v>11.238095238095237</v>
      </c>
      <c r="H13" s="49">
        <f t="shared" si="1"/>
        <v>5.6600266833526449</v>
      </c>
      <c r="I13" s="22">
        <f t="shared" si="2"/>
        <v>67.920320200231743</v>
      </c>
      <c r="K13" s="126">
        <v>80</v>
      </c>
      <c r="L13">
        <f>VLOOKUP(B13,Size!$A$2:$D$36,4,)</f>
        <v>2.1168</v>
      </c>
      <c r="M13" s="50">
        <f t="shared" si="3"/>
        <v>37.792894935752081</v>
      </c>
      <c r="N13" s="74">
        <f t="shared" si="4"/>
        <v>4.6321702505672508</v>
      </c>
      <c r="O13" s="22">
        <f t="shared" si="5"/>
        <v>264.0337042823333</v>
      </c>
    </row>
    <row r="14" spans="1:15">
      <c r="A14">
        <f t="shared" si="0"/>
        <v>11</v>
      </c>
      <c r="B14" t="s">
        <v>25</v>
      </c>
      <c r="C14" t="s">
        <v>175</v>
      </c>
      <c r="E14">
        <f>E7</f>
        <v>5</v>
      </c>
      <c r="F14">
        <f>F7</f>
        <v>40</v>
      </c>
      <c r="G14" s="22">
        <f>G7</f>
        <v>8</v>
      </c>
      <c r="H14" s="49">
        <f t="shared" si="1"/>
        <v>1.477390160434463</v>
      </c>
      <c r="I14" s="22">
        <f t="shared" si="2"/>
        <v>17.728681925213557</v>
      </c>
      <c r="K14" s="126">
        <v>37</v>
      </c>
      <c r="L14">
        <f>VLOOKUP(B14,Size!$A$2:$D$36,4,)</f>
        <v>6.8040000000000012</v>
      </c>
      <c r="M14" s="50">
        <f t="shared" si="3"/>
        <v>5.4379776601998815</v>
      </c>
      <c r="N14" s="74">
        <f t="shared" si="4"/>
        <v>2.6057743183494821</v>
      </c>
      <c r="O14" s="22">
        <f t="shared" si="5"/>
        <v>148.52913614592049</v>
      </c>
    </row>
    <row r="15" spans="1:15">
      <c r="A15">
        <f t="shared" si="0"/>
        <v>12</v>
      </c>
      <c r="B15" t="s">
        <v>27</v>
      </c>
      <c r="C15" t="s">
        <v>175</v>
      </c>
      <c r="E15">
        <f>E7</f>
        <v>5</v>
      </c>
      <c r="F15">
        <f>F7</f>
        <v>40</v>
      </c>
      <c r="G15" s="22">
        <f>G7</f>
        <v>8</v>
      </c>
      <c r="H15" s="49">
        <f t="shared" si="1"/>
        <v>1.477390160434463</v>
      </c>
      <c r="I15" s="22">
        <f t="shared" si="2"/>
        <v>17.728681925213557</v>
      </c>
      <c r="K15" s="126">
        <v>16</v>
      </c>
      <c r="L15">
        <f>VLOOKUP(B15,Size!$A$2:$D$36,4,)</f>
        <v>0.43200000000000005</v>
      </c>
      <c r="M15" s="50">
        <f t="shared" si="3"/>
        <v>37.037037037037031</v>
      </c>
      <c r="N15" s="74">
        <f t="shared" si="4"/>
        <v>2.5062528233284462</v>
      </c>
      <c r="O15" s="22">
        <f t="shared" si="5"/>
        <v>142.85641092972145</v>
      </c>
    </row>
    <row r="16" spans="1:15">
      <c r="A16">
        <f t="shared" si="0"/>
        <v>13</v>
      </c>
      <c r="B16" t="s">
        <v>28</v>
      </c>
      <c r="C16" s="25" t="str">
        <f>C25</f>
        <v>Murray Hill</v>
      </c>
      <c r="E16" s="25">
        <f>E25</f>
        <v>15</v>
      </c>
      <c r="F16" s="25">
        <f>F25</f>
        <v>128</v>
      </c>
      <c r="G16" s="26">
        <f>G25</f>
        <v>8.5333333333333332</v>
      </c>
      <c r="H16" s="49">
        <f t="shared" si="1"/>
        <v>1.9863897730188795</v>
      </c>
      <c r="I16" s="22">
        <f t="shared" si="2"/>
        <v>23.836677276226553</v>
      </c>
      <c r="K16" s="126">
        <v>42</v>
      </c>
      <c r="L16">
        <f>VLOOKUP(B16,Size!$A$2:$D$36,4,)</f>
        <v>0.64800000000000013</v>
      </c>
      <c r="M16" s="50">
        <f t="shared" si="3"/>
        <v>64.814814814814795</v>
      </c>
      <c r="N16" s="74">
        <f t="shared" si="4"/>
        <v>3.8267127835630124</v>
      </c>
      <c r="O16" s="22">
        <f t="shared" si="5"/>
        <v>218.12262866309172</v>
      </c>
    </row>
    <row r="17" spans="1:15">
      <c r="A17">
        <f t="shared" si="0"/>
        <v>14</v>
      </c>
      <c r="B17" t="s">
        <v>29</v>
      </c>
      <c r="C17" s="25" t="str">
        <f>C23</f>
        <v>Midtown West</v>
      </c>
      <c r="E17" s="25">
        <f>E23</f>
        <v>16</v>
      </c>
      <c r="F17" s="25">
        <f>F23</f>
        <v>230</v>
      </c>
      <c r="G17" s="26">
        <f>G23</f>
        <v>14.375</v>
      </c>
      <c r="H17" s="49">
        <f t="shared" si="1"/>
        <v>9.0999190237268994</v>
      </c>
      <c r="I17" s="22">
        <f t="shared" si="2"/>
        <v>109.1990282847228</v>
      </c>
      <c r="K17" s="129">
        <f>K23/3</f>
        <v>19.222222222222221</v>
      </c>
      <c r="L17">
        <f>VLOOKUP(B17,Size!$A$2:$D$36,4,)</f>
        <v>0.10800000000000001</v>
      </c>
      <c r="M17" s="50">
        <f t="shared" si="3"/>
        <v>177.98353909465018</v>
      </c>
      <c r="N17" s="74">
        <f t="shared" si="4"/>
        <v>5.2664615702044539</v>
      </c>
      <c r="O17" s="22">
        <f t="shared" si="5"/>
        <v>300.18830950165386</v>
      </c>
    </row>
    <row r="18" spans="1:15">
      <c r="A18">
        <f t="shared" si="0"/>
        <v>15</v>
      </c>
      <c r="B18" t="s">
        <v>61</v>
      </c>
      <c r="C18" s="25" t="str">
        <f>C33</f>
        <v>SOHO / Tribeca / Financial District</v>
      </c>
      <c r="E18" s="25">
        <f>E33</f>
        <v>31</v>
      </c>
      <c r="F18" s="25">
        <f>F33</f>
        <v>335</v>
      </c>
      <c r="G18" s="26">
        <f>G33</f>
        <v>10.806451612903226</v>
      </c>
      <c r="H18" s="49">
        <f t="shared" si="1"/>
        <v>5.0183237371366216</v>
      </c>
      <c r="I18" s="22">
        <f t="shared" si="2"/>
        <v>60.219884845639456</v>
      </c>
      <c r="K18" s="126">
        <v>14</v>
      </c>
      <c r="L18">
        <f>VLOOKUP(B18,Size!$A$2:$D$36,4,)</f>
        <v>0.21600000000000003</v>
      </c>
      <c r="M18" s="50">
        <f t="shared" si="3"/>
        <v>64.81481481481481</v>
      </c>
      <c r="N18" s="74">
        <f t="shared" si="4"/>
        <v>2.9952233414870668</v>
      </c>
      <c r="O18" s="22">
        <f t="shared" si="5"/>
        <v>170.7277304647628</v>
      </c>
    </row>
    <row r="19" spans="1:15">
      <c r="A19">
        <f t="shared" si="0"/>
        <v>16</v>
      </c>
      <c r="B19" t="s">
        <v>31</v>
      </c>
      <c r="C19" t="s">
        <v>176</v>
      </c>
      <c r="E19">
        <f>E8</f>
        <v>44</v>
      </c>
      <c r="F19">
        <f>F8</f>
        <v>433</v>
      </c>
      <c r="G19" s="22">
        <f>G8</f>
        <v>9.8409090909090917</v>
      </c>
      <c r="H19" s="49">
        <f t="shared" si="1"/>
        <v>3.6057626302559087</v>
      </c>
      <c r="I19" s="22">
        <f t="shared" si="2"/>
        <v>43.269151563070906</v>
      </c>
      <c r="K19" s="126">
        <v>143</v>
      </c>
      <c r="L19">
        <f>VLOOKUP(B19,Size!$A$2:$D$36,4,)</f>
        <v>0.90720000000000001</v>
      </c>
      <c r="M19" s="50">
        <f t="shared" si="3"/>
        <v>157.62786596119929</v>
      </c>
      <c r="N19" s="74">
        <f t="shared" si="4"/>
        <v>8.4771811157057115</v>
      </c>
      <c r="O19" s="22">
        <f t="shared" si="5"/>
        <v>483.19932359522556</v>
      </c>
    </row>
    <row r="20" spans="1:15">
      <c r="A20">
        <f t="shared" si="0"/>
        <v>17</v>
      </c>
      <c r="B20" t="s">
        <v>33</v>
      </c>
      <c r="C20" t="s">
        <v>178</v>
      </c>
      <c r="E20">
        <f>E21+E23</f>
        <v>23</v>
      </c>
      <c r="F20">
        <f>F21+F23</f>
        <v>337</v>
      </c>
      <c r="G20" s="22">
        <f>F20/E20</f>
        <v>14.652173913043478</v>
      </c>
      <c r="H20" s="49">
        <f t="shared" si="1"/>
        <v>9.2569838952603885</v>
      </c>
      <c r="I20" s="22">
        <f t="shared" si="2"/>
        <v>111.08380674312465</v>
      </c>
      <c r="K20" s="129">
        <f>K22</f>
        <v>57.666666666666664</v>
      </c>
      <c r="L20">
        <f>VLOOKUP(B20,Size!$A$2:$D$36,4,)</f>
        <v>0.43200000000000005</v>
      </c>
      <c r="M20" s="50">
        <f t="shared" si="3"/>
        <v>133.48765432098764</v>
      </c>
      <c r="N20" s="74">
        <f t="shared" si="4"/>
        <v>5.7821719755734859</v>
      </c>
      <c r="O20" s="22">
        <f t="shared" si="5"/>
        <v>329.58380260768871</v>
      </c>
    </row>
    <row r="21" spans="1:15">
      <c r="A21">
        <f t="shared" si="0"/>
        <v>18</v>
      </c>
      <c r="B21" t="s">
        <v>34</v>
      </c>
      <c r="C21" t="s">
        <v>34</v>
      </c>
      <c r="E21">
        <v>7</v>
      </c>
      <c r="F21">
        <f>14+14+16+39+8+0+16</f>
        <v>107</v>
      </c>
      <c r="G21" s="22">
        <f>F21/E21</f>
        <v>15.285714285714286</v>
      </c>
      <c r="H21" s="49">
        <f t="shared" si="1"/>
        <v>9.53685393300246</v>
      </c>
      <c r="I21" s="22">
        <f t="shared" si="2"/>
        <v>114.44224719602951</v>
      </c>
      <c r="K21" s="126">
        <v>173</v>
      </c>
      <c r="L21">
        <f>VLOOKUP(B21,Size!$A$2:$D$36,4,)</f>
        <v>2.5920000000000005</v>
      </c>
      <c r="M21" s="50">
        <f t="shared" si="3"/>
        <v>66.743827160493808</v>
      </c>
      <c r="N21" s="74">
        <f t="shared" si="4"/>
        <v>6.9282486805380614</v>
      </c>
      <c r="O21" s="22">
        <f t="shared" si="5"/>
        <v>394.91017479066949</v>
      </c>
    </row>
    <row r="22" spans="1:15">
      <c r="A22">
        <f t="shared" si="0"/>
        <v>19</v>
      </c>
      <c r="B22" t="s">
        <v>35</v>
      </c>
      <c r="C22" t="s">
        <v>174</v>
      </c>
      <c r="E22">
        <f>E5</f>
        <v>7</v>
      </c>
      <c r="F22">
        <f>F5</f>
        <v>32</v>
      </c>
      <c r="G22" s="22">
        <f>G5</f>
        <v>4.5714285714285712</v>
      </c>
      <c r="H22" s="49">
        <f t="shared" si="1"/>
        <v>9.9061777855358191E-2</v>
      </c>
      <c r="I22" s="22">
        <f t="shared" si="2"/>
        <v>1.1887413342642983</v>
      </c>
      <c r="K22" s="129">
        <f>K21/3</f>
        <v>57.666666666666664</v>
      </c>
      <c r="L22">
        <f>VLOOKUP(B22,Size!$A$2:$D$36,4,)</f>
        <v>1.5552000000000001</v>
      </c>
      <c r="M22" s="50">
        <f t="shared" si="3"/>
        <v>37.079903978052123</v>
      </c>
      <c r="N22" s="74">
        <f>NORMDIST(M22,$M$1,$M$2,TRUE)*5+NORMDIST(K22,$K$1,$K$2,TRUE)*5</f>
        <v>3.8339692140341572</v>
      </c>
      <c r="O22" s="22">
        <f t="shared" si="5"/>
        <v>218.53624519994696</v>
      </c>
    </row>
    <row r="23" spans="1:15">
      <c r="A23">
        <f t="shared" si="0"/>
        <v>20</v>
      </c>
      <c r="B23" t="s">
        <v>36</v>
      </c>
      <c r="C23" t="s">
        <v>36</v>
      </c>
      <c r="E23">
        <v>16</v>
      </c>
      <c r="F23">
        <f>11+8+6+7+10+12+12+15+4+16+8+23+18+29+20+31</f>
        <v>230</v>
      </c>
      <c r="G23" s="22">
        <f>F23/E23</f>
        <v>14.375</v>
      </c>
      <c r="H23" s="49">
        <f t="shared" si="1"/>
        <v>9.0999190237268994</v>
      </c>
      <c r="I23" s="22">
        <f t="shared" si="2"/>
        <v>109.1990282847228</v>
      </c>
      <c r="K23" s="129">
        <f>K21/3</f>
        <v>57.666666666666664</v>
      </c>
      <c r="L23">
        <f>VLOOKUP(B23,Size!$A$2:$D$36,4,)</f>
        <v>2.16</v>
      </c>
      <c r="M23" s="50">
        <f t="shared" si="3"/>
        <v>26.697530864197528</v>
      </c>
      <c r="N23" s="74">
        <f t="shared" si="4"/>
        <v>3.6510877495287595</v>
      </c>
      <c r="O23" s="22">
        <f t="shared" si="5"/>
        <v>208.11200172313929</v>
      </c>
    </row>
    <row r="24" spans="1:15">
      <c r="A24">
        <f t="shared" si="0"/>
        <v>21</v>
      </c>
      <c r="B24" t="s">
        <v>37</v>
      </c>
      <c r="C24" t="s">
        <v>175</v>
      </c>
      <c r="E24">
        <f>E7</f>
        <v>5</v>
      </c>
      <c r="F24">
        <f>F7</f>
        <v>40</v>
      </c>
      <c r="G24" s="22">
        <f>G7</f>
        <v>8</v>
      </c>
      <c r="H24" s="49">
        <f t="shared" si="1"/>
        <v>1.477390160434463</v>
      </c>
      <c r="I24" s="22">
        <f t="shared" si="2"/>
        <v>17.728681925213557</v>
      </c>
      <c r="K24" s="126">
        <v>6</v>
      </c>
      <c r="L24">
        <f>VLOOKUP(B24,Size!$A$2:$D$36,4,)</f>
        <v>0.64800000000000013</v>
      </c>
      <c r="M24" s="50">
        <f t="shared" si="3"/>
        <v>9.2592592592592577</v>
      </c>
      <c r="N24" s="74">
        <f t="shared" si="4"/>
        <v>1.8080537332480895</v>
      </c>
      <c r="O24" s="22">
        <f t="shared" si="5"/>
        <v>103.0590627951411</v>
      </c>
    </row>
    <row r="25" spans="1:15">
      <c r="A25">
        <f t="shared" si="0"/>
        <v>22</v>
      </c>
      <c r="B25" t="s">
        <v>38</v>
      </c>
      <c r="C25" t="s">
        <v>38</v>
      </c>
      <c r="E25">
        <f>20-E12</f>
        <v>15</v>
      </c>
      <c r="F25">
        <f>7+17+17+14+11+12+0+8+0+8+12+0+10+0+9+10+16+17+16-F12</f>
        <v>128</v>
      </c>
      <c r="G25" s="22">
        <f>F25/E25</f>
        <v>8.5333333333333332</v>
      </c>
      <c r="H25" s="49">
        <f t="shared" si="1"/>
        <v>1.9863897730188795</v>
      </c>
      <c r="I25" s="22">
        <f t="shared" si="2"/>
        <v>23.836677276226553</v>
      </c>
      <c r="K25" s="126">
        <v>115</v>
      </c>
      <c r="L25">
        <f>VLOOKUP(B25,Size!$A$2:$D$36,4,)</f>
        <v>0.84240000000000015</v>
      </c>
      <c r="M25" s="50">
        <f t="shared" si="3"/>
        <v>136.51471984805315</v>
      </c>
      <c r="N25" s="74">
        <f t="shared" si="4"/>
        <v>7.6276188652168733</v>
      </c>
      <c r="O25" s="22">
        <f t="shared" si="5"/>
        <v>434.7742753173618</v>
      </c>
    </row>
    <row r="26" spans="1:15">
      <c r="A26">
        <f t="shared" si="0"/>
        <v>23</v>
      </c>
      <c r="B26" t="s">
        <v>39</v>
      </c>
      <c r="C26" s="25" t="str">
        <f>C38</f>
        <v>West Village</v>
      </c>
      <c r="E26" s="25">
        <f>E38</f>
        <v>21</v>
      </c>
      <c r="F26" s="25">
        <f>F38</f>
        <v>236</v>
      </c>
      <c r="G26" s="26">
        <f>G38</f>
        <v>11.238095238095237</v>
      </c>
      <c r="H26" s="49">
        <f t="shared" si="1"/>
        <v>5.6600266833526449</v>
      </c>
      <c r="I26" s="22">
        <f t="shared" si="2"/>
        <v>67.920320200231743</v>
      </c>
      <c r="K26" s="126">
        <v>32</v>
      </c>
      <c r="L26">
        <f>VLOOKUP(B26,Size!$A$2:$D$36,4,)</f>
        <v>0.34560000000000002</v>
      </c>
      <c r="M26" s="50">
        <f t="shared" si="3"/>
        <v>92.592592592592581</v>
      </c>
      <c r="N26" s="74">
        <f t="shared" si="4"/>
        <v>4.0829896695651975</v>
      </c>
      <c r="O26" s="22">
        <f t="shared" si="5"/>
        <v>232.73041116521625</v>
      </c>
    </row>
    <row r="27" spans="1:15">
      <c r="A27">
        <f t="shared" si="0"/>
        <v>24</v>
      </c>
      <c r="B27" t="s">
        <v>52</v>
      </c>
      <c r="C27" s="25" t="str">
        <f>C38</f>
        <v>West Village</v>
      </c>
      <c r="E27" s="25">
        <f>E38</f>
        <v>21</v>
      </c>
      <c r="F27" s="25">
        <f>F38</f>
        <v>236</v>
      </c>
      <c r="G27" s="26">
        <f>G38</f>
        <v>11.238095238095237</v>
      </c>
      <c r="H27" s="49">
        <f t="shared" si="1"/>
        <v>5.6600266833526449</v>
      </c>
      <c r="I27" s="22">
        <f t="shared" si="2"/>
        <v>67.920320200231743</v>
      </c>
      <c r="K27" s="126">
        <v>30</v>
      </c>
      <c r="L27">
        <f>VLOOKUP(B27,Size!$A$2:$D$36,4,)</f>
        <v>6.480000000000001E-2</v>
      </c>
      <c r="M27" s="50">
        <f t="shared" si="3"/>
        <v>462.96296296296288</v>
      </c>
      <c r="N27" s="74">
        <f t="shared" si="4"/>
        <v>6.4378250665501344</v>
      </c>
      <c r="O27" s="22">
        <f t="shared" si="5"/>
        <v>366.95602879335769</v>
      </c>
    </row>
    <row r="28" spans="1:15">
      <c r="A28">
        <f t="shared" si="0"/>
        <v>25</v>
      </c>
      <c r="B28" t="s">
        <v>40</v>
      </c>
      <c r="C28" s="25" t="str">
        <f>C35</f>
        <v>Upper East Side</v>
      </c>
      <c r="E28" s="25">
        <f>E35</f>
        <v>11</v>
      </c>
      <c r="F28" s="25">
        <f>F35</f>
        <v>131</v>
      </c>
      <c r="G28" s="26">
        <f>G35</f>
        <v>11.909090909090908</v>
      </c>
      <c r="H28" s="49">
        <f t="shared" si="1"/>
        <v>6.6182021551470509</v>
      </c>
      <c r="I28" s="22">
        <f t="shared" si="2"/>
        <v>79.418425861764604</v>
      </c>
      <c r="K28" s="126">
        <v>1</v>
      </c>
      <c r="L28">
        <f>VLOOKUP(B28,Size!$A$2:$D$36,4,)</f>
        <v>0.72260999999999997</v>
      </c>
      <c r="M28" s="50">
        <f t="shared" si="3"/>
        <v>1.3838723516142872</v>
      </c>
      <c r="N28" s="74">
        <f t="shared" si="4"/>
        <v>1.5908419699219711</v>
      </c>
      <c r="O28" s="22">
        <f t="shared" si="5"/>
        <v>90.677992285552349</v>
      </c>
    </row>
    <row r="29" spans="1:15">
      <c r="A29">
        <f t="shared" si="0"/>
        <v>26</v>
      </c>
      <c r="B29" t="s">
        <v>41</v>
      </c>
      <c r="C29" t="str">
        <f>C33</f>
        <v>SOHO / Tribeca / Financial District</v>
      </c>
      <c r="E29">
        <f>E33</f>
        <v>31</v>
      </c>
      <c r="F29">
        <f>F33</f>
        <v>335</v>
      </c>
      <c r="G29" s="22">
        <f>G33</f>
        <v>10.806451612903226</v>
      </c>
      <c r="H29" s="49">
        <f t="shared" si="1"/>
        <v>5.0183237371366216</v>
      </c>
      <c r="I29" s="22">
        <f t="shared" si="2"/>
        <v>60.219884845639456</v>
      </c>
      <c r="K29" s="126">
        <v>66</v>
      </c>
      <c r="L29">
        <f>VLOOKUP(B29,Size!$A$2:$D$36,4,)</f>
        <v>0.51840000000000008</v>
      </c>
      <c r="M29" s="50">
        <f t="shared" si="3"/>
        <v>127.3148148148148</v>
      </c>
      <c r="N29" s="74">
        <f t="shared" si="4"/>
        <v>5.9613623635976971</v>
      </c>
      <c r="O29" s="22">
        <f t="shared" si="5"/>
        <v>339.79765472506875</v>
      </c>
    </row>
    <row r="30" spans="1:15">
      <c r="A30">
        <f t="shared" si="0"/>
        <v>27</v>
      </c>
      <c r="B30" t="s">
        <v>53</v>
      </c>
      <c r="C30" s="25" t="str">
        <f>C12</f>
        <v>Grammercy</v>
      </c>
      <c r="E30" s="25">
        <f>E12</f>
        <v>5</v>
      </c>
      <c r="F30" s="25">
        <f>F12</f>
        <v>56</v>
      </c>
      <c r="G30" s="26">
        <f>G12</f>
        <v>11.2</v>
      </c>
      <c r="H30" s="49">
        <f t="shared" si="1"/>
        <v>5.6038399710162476</v>
      </c>
      <c r="I30" s="22">
        <f t="shared" si="2"/>
        <v>67.246079652194965</v>
      </c>
      <c r="K30" s="126">
        <v>6</v>
      </c>
      <c r="L30">
        <f>VLOOKUP(B30,Size!$A$2:$D$36,4,)</f>
        <v>0.38880000000000003</v>
      </c>
      <c r="M30" s="50">
        <f t="shared" si="3"/>
        <v>15.432098765432098</v>
      </c>
      <c r="N30" s="74">
        <f t="shared" si="4"/>
        <v>1.9020903655359072</v>
      </c>
      <c r="O30" s="22">
        <f t="shared" si="5"/>
        <v>108.4191508355467</v>
      </c>
    </row>
    <row r="31" spans="1:15">
      <c r="A31">
        <f t="shared" si="0"/>
        <v>28</v>
      </c>
      <c r="B31" t="s">
        <v>42</v>
      </c>
      <c r="C31" s="25" t="str">
        <f>C35</f>
        <v>Upper East Side</v>
      </c>
      <c r="E31" s="25">
        <f>E35</f>
        <v>11</v>
      </c>
      <c r="F31" s="25">
        <f>F35</f>
        <v>131</v>
      </c>
      <c r="G31" s="26">
        <f>G35</f>
        <v>11.909090909090908</v>
      </c>
      <c r="H31" s="49">
        <f t="shared" si="1"/>
        <v>6.6182021551470509</v>
      </c>
      <c r="I31" s="22">
        <f t="shared" si="2"/>
        <v>79.418425861764604</v>
      </c>
      <c r="K31" s="129">
        <v>10</v>
      </c>
      <c r="L31">
        <f>VLOOKUP(B31,Size!$A$2:$D$36,4,)</f>
        <v>6.480000000000001E-2</v>
      </c>
      <c r="M31" s="50">
        <f t="shared" si="3"/>
        <v>154.32098765432096</v>
      </c>
      <c r="N31" s="74">
        <f t="shared" si="4"/>
        <v>4.6778668251892972</v>
      </c>
      <c r="O31" s="22">
        <f t="shared" si="5"/>
        <v>266.63840903578995</v>
      </c>
    </row>
    <row r="32" spans="1:15">
      <c r="A32">
        <f t="shared" si="0"/>
        <v>29</v>
      </c>
      <c r="B32" t="s">
        <v>43</v>
      </c>
      <c r="C32" s="25" t="str">
        <f>C20</f>
        <v>Midtown East + West</v>
      </c>
      <c r="E32" s="25">
        <f>E20</f>
        <v>23</v>
      </c>
      <c r="F32" s="25">
        <f>F20</f>
        <v>337</v>
      </c>
      <c r="G32" s="26">
        <f>G20</f>
        <v>14.652173913043478</v>
      </c>
      <c r="H32" s="49">
        <f t="shared" si="1"/>
        <v>9.2569838952603885</v>
      </c>
      <c r="I32" s="22">
        <f t="shared" si="2"/>
        <v>111.08380674312465</v>
      </c>
      <c r="K32" s="129">
        <f>K22</f>
        <v>57.666666666666664</v>
      </c>
      <c r="L32">
        <f>VLOOKUP(B32,Size!$A$2:$D$36,4,)</f>
        <v>0.47520000000000007</v>
      </c>
      <c r="M32" s="50">
        <f t="shared" si="3"/>
        <v>121.35241301907966</v>
      </c>
      <c r="N32" s="74">
        <f t="shared" si="4"/>
        <v>5.546919555982166</v>
      </c>
      <c r="O32" s="22">
        <f t="shared" si="5"/>
        <v>316.17441469098344</v>
      </c>
    </row>
    <row r="33" spans="1:15">
      <c r="A33">
        <f t="shared" si="0"/>
        <v>30</v>
      </c>
      <c r="B33" t="s">
        <v>44</v>
      </c>
      <c r="C33" t="s">
        <v>173</v>
      </c>
      <c r="E33">
        <f>E4</f>
        <v>31</v>
      </c>
      <c r="F33">
        <f>F4</f>
        <v>335</v>
      </c>
      <c r="G33" s="22">
        <f>G4</f>
        <v>10.806451612903226</v>
      </c>
      <c r="H33" s="49">
        <f t="shared" si="1"/>
        <v>5.0183237371366216</v>
      </c>
      <c r="I33" s="22">
        <f t="shared" si="2"/>
        <v>60.219884845639456</v>
      </c>
      <c r="K33" s="126">
        <v>59</v>
      </c>
      <c r="L33">
        <f>VLOOKUP(B33,Size!$A$2:$D$36,4,)</f>
        <v>0.8640000000000001</v>
      </c>
      <c r="M33" s="50">
        <f t="shared" si="3"/>
        <v>68.287037037037024</v>
      </c>
      <c r="N33" s="74">
        <f t="shared" si="4"/>
        <v>4.4916473945870399</v>
      </c>
      <c r="O33" s="22">
        <f t="shared" si="5"/>
        <v>256.02390149146129</v>
      </c>
    </row>
    <row r="34" spans="1:15">
      <c r="A34">
        <f t="shared" si="0"/>
        <v>31</v>
      </c>
      <c r="B34" t="s">
        <v>46</v>
      </c>
      <c r="C34" s="25" t="str">
        <f>C8</f>
        <v>East Village / Lower East Side</v>
      </c>
      <c r="E34" s="25">
        <f>E8</f>
        <v>44</v>
      </c>
      <c r="F34" s="25">
        <f>F8</f>
        <v>433</v>
      </c>
      <c r="G34" s="26">
        <f>G8</f>
        <v>9.8409090909090917</v>
      </c>
      <c r="H34" s="49">
        <f t="shared" si="1"/>
        <v>3.6057626302559087</v>
      </c>
      <c r="I34" s="22">
        <f t="shared" si="2"/>
        <v>43.269151563070906</v>
      </c>
      <c r="K34" s="126">
        <v>22</v>
      </c>
      <c r="L34">
        <f>VLOOKUP(B34,Size!$A$2:$D$36,4,)</f>
        <v>6.480000000000001E-2</v>
      </c>
      <c r="M34" s="50">
        <f t="shared" si="3"/>
        <v>339.50617283950612</v>
      </c>
      <c r="N34" s="74">
        <f t="shared" si="4"/>
        <v>6.1842472550478131</v>
      </c>
      <c r="O34" s="22">
        <f t="shared" si="5"/>
        <v>352.50209353772533</v>
      </c>
    </row>
    <row r="35" spans="1:15">
      <c r="A35">
        <f t="shared" si="0"/>
        <v>32</v>
      </c>
      <c r="B35" t="s">
        <v>47</v>
      </c>
      <c r="C35" t="s">
        <v>47</v>
      </c>
      <c r="E35">
        <v>11</v>
      </c>
      <c r="F35">
        <f>8+10+8+29+3+10+11+12+6+10+24</f>
        <v>131</v>
      </c>
      <c r="G35" s="22">
        <f>F35/E35</f>
        <v>11.909090909090908</v>
      </c>
      <c r="H35" s="49">
        <f t="shared" si="1"/>
        <v>6.6182021551470509</v>
      </c>
      <c r="I35" s="22">
        <f t="shared" si="2"/>
        <v>79.418425861764604</v>
      </c>
      <c r="K35" s="126">
        <v>125</v>
      </c>
      <c r="L35">
        <f>VLOOKUP(B35,Size!$A$2:$D$36,4,)</f>
        <v>4.7952000000000004</v>
      </c>
      <c r="M35" s="50">
        <f t="shared" si="3"/>
        <v>26.067734401067732</v>
      </c>
      <c r="N35" s="74">
        <f t="shared" si="4"/>
        <v>5.6348225461975998</v>
      </c>
      <c r="O35" s="22">
        <f t="shared" si="5"/>
        <v>321.18488513326321</v>
      </c>
    </row>
    <row r="36" spans="1:15">
      <c r="A36">
        <f t="shared" si="0"/>
        <v>33</v>
      </c>
      <c r="B36" t="s">
        <v>62</v>
      </c>
      <c r="C36" t="s">
        <v>62</v>
      </c>
      <c r="E36">
        <v>13</v>
      </c>
      <c r="F36">
        <f>23+0+18+21+28+6+20+12+6+16+9+9+30</f>
        <v>198</v>
      </c>
      <c r="G36" s="22">
        <f>F36/E36</f>
        <v>15.23076923076923</v>
      </c>
      <c r="H36" s="49">
        <f t="shared" si="1"/>
        <v>9.5165498192413374</v>
      </c>
      <c r="I36" s="22">
        <f t="shared" si="2"/>
        <v>114.19859783089605</v>
      </c>
      <c r="K36" s="126">
        <v>75</v>
      </c>
      <c r="L36">
        <f>VLOOKUP(B36,Size!$A$2:$D$36,4,)</f>
        <v>4.4064000000000005</v>
      </c>
      <c r="M36" s="50">
        <f t="shared" si="3"/>
        <v>17.020697167755991</v>
      </c>
      <c r="N36" s="74">
        <f t="shared" si="4"/>
        <v>4.1060880248210143</v>
      </c>
      <c r="O36" s="22">
        <f t="shared" si="5"/>
        <v>234.04701741479781</v>
      </c>
    </row>
    <row r="37" spans="1:15">
      <c r="A37">
        <f t="shared" si="0"/>
        <v>34</v>
      </c>
      <c r="B37" t="s">
        <v>48</v>
      </c>
      <c r="C37" t="s">
        <v>175</v>
      </c>
      <c r="E37">
        <f>E7</f>
        <v>5</v>
      </c>
      <c r="F37">
        <f>F7</f>
        <v>40</v>
      </c>
      <c r="G37" s="22">
        <f>G7</f>
        <v>8</v>
      </c>
      <c r="H37" s="49">
        <f t="shared" si="1"/>
        <v>1.477390160434463</v>
      </c>
      <c r="I37" s="22">
        <f t="shared" si="2"/>
        <v>17.728681925213557</v>
      </c>
      <c r="K37" s="126">
        <v>75</v>
      </c>
      <c r="L37">
        <f>VLOOKUP(B37,Size!$A$2:$D$36,4,)</f>
        <v>3.8880000000000003</v>
      </c>
      <c r="M37" s="50">
        <f t="shared" si="3"/>
        <v>19.290123456790123</v>
      </c>
      <c r="N37" s="74">
        <f t="shared" si="4"/>
        <v>4.1423514735875413</v>
      </c>
      <c r="O37" s="22">
        <f t="shared" si="5"/>
        <v>236.11403399448986</v>
      </c>
    </row>
    <row r="38" spans="1:15">
      <c r="A38">
        <f t="shared" si="0"/>
        <v>35</v>
      </c>
      <c r="B38" t="s">
        <v>49</v>
      </c>
      <c r="C38" t="s">
        <v>49</v>
      </c>
      <c r="E38">
        <v>21</v>
      </c>
      <c r="F38">
        <f>6+39+15+28+18+10+6+8+8+10+0+22+1+4+25+0+3+6+11+8+8</f>
        <v>236</v>
      </c>
      <c r="G38" s="22">
        <f>F38/E38</f>
        <v>11.238095238095237</v>
      </c>
      <c r="H38" s="49">
        <f t="shared" si="1"/>
        <v>5.6600266833526449</v>
      </c>
      <c r="I38" s="22">
        <f t="shared" si="2"/>
        <v>67.920320200231743</v>
      </c>
      <c r="K38" s="126">
        <v>146</v>
      </c>
      <c r="L38">
        <f>VLOOKUP(B38,Size!$A$2:$D$36,4,)</f>
        <v>1.5120000000000002</v>
      </c>
      <c r="M38" s="50">
        <f t="shared" si="3"/>
        <v>96.560846560846542</v>
      </c>
      <c r="N38" s="74">
        <f t="shared" si="4"/>
        <v>7.3433283375293961</v>
      </c>
      <c r="O38" s="22">
        <f t="shared" si="5"/>
        <v>418.56971523917559</v>
      </c>
    </row>
    <row r="40" spans="1:15" s="52" customFormat="1">
      <c r="A40" s="52">
        <f>OBJ!C2</f>
        <v>5</v>
      </c>
      <c r="B40" s="52" t="str">
        <f>OBJ!B2</f>
        <v>East Village</v>
      </c>
      <c r="G40" s="53"/>
      <c r="H40" s="53"/>
      <c r="I40" s="53">
        <f>VLOOKUP(B40,B4:O38,8,)</f>
        <v>43.269151563070906</v>
      </c>
      <c r="J40" s="53"/>
      <c r="K40" s="128"/>
      <c r="M40" s="54"/>
      <c r="N40" s="15"/>
      <c r="O40" s="53">
        <f>VLOOKUP(B40,B4:O38,13,)</f>
        <v>8.2423597435985414</v>
      </c>
    </row>
    <row r="41" spans="1:15">
      <c r="A41">
        <f>OBJ!C3</f>
        <v>33</v>
      </c>
      <c r="I41" s="22">
        <f>VLOOKUP(A41,A4:O38,9,)</f>
        <v>114.19859783089605</v>
      </c>
      <c r="O41" s="22">
        <f>VLOOKUP(A41,A4:O38,14,)</f>
        <v>4.1060880248210143</v>
      </c>
    </row>
    <row r="42" spans="1:15">
      <c r="A42">
        <f>OBJ!C4</f>
        <v>18</v>
      </c>
      <c r="I42" s="22">
        <f>VLOOKUP(A42,A4:O38,9,)</f>
        <v>114.44224719602951</v>
      </c>
      <c r="O42">
        <f>VLOOKUP(A42,A4:O38,14,)</f>
        <v>6.9282486805380614</v>
      </c>
    </row>
  </sheetData>
  <phoneticPr fontId="0" type="noConversion"/>
  <pageMargins left="0.7" right="0.7" top="0.75" bottom="0.75" header="0.3" footer="0.3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2"/>
  <sheetViews>
    <sheetView workbookViewId="0">
      <selection activeCell="C14" sqref="C14"/>
    </sheetView>
  </sheetViews>
  <sheetFormatPr defaultRowHeight="15"/>
  <cols>
    <col min="1" max="1" width="3" bestFit="1" customWidth="1"/>
    <col min="2" max="2" width="27.42578125" bestFit="1" customWidth="1"/>
  </cols>
  <sheetData>
    <row r="1" spans="1:5">
      <c r="A1" t="s">
        <v>179</v>
      </c>
    </row>
    <row r="2" spans="1:5" ht="30">
      <c r="C2" s="12" t="s">
        <v>266</v>
      </c>
      <c r="D2" s="12"/>
    </row>
    <row r="3" spans="1:5">
      <c r="B3" s="27" t="s">
        <v>180</v>
      </c>
      <c r="C3">
        <v>5</v>
      </c>
    </row>
    <row r="4" spans="1:5">
      <c r="B4" s="27" t="s">
        <v>181</v>
      </c>
      <c r="C4">
        <v>4</v>
      </c>
    </row>
    <row r="5" spans="1:5">
      <c r="B5" s="27" t="s">
        <v>182</v>
      </c>
      <c r="C5">
        <v>3</v>
      </c>
    </row>
    <row r="6" spans="1:5">
      <c r="B6" s="27" t="s">
        <v>183</v>
      </c>
      <c r="C6">
        <v>2</v>
      </c>
    </row>
    <row r="7" spans="1:5">
      <c r="B7" s="27" t="s">
        <v>184</v>
      </c>
      <c r="C7">
        <v>1</v>
      </c>
    </row>
    <row r="8" spans="1:5">
      <c r="B8" t="s">
        <v>185</v>
      </c>
    </row>
    <row r="9" spans="1:5">
      <c r="B9" t="s">
        <v>186</v>
      </c>
    </row>
    <row r="11" spans="1:5" ht="15.75" thickBot="1">
      <c r="E11" t="s">
        <v>264</v>
      </c>
    </row>
    <row r="12" spans="1:5" ht="15.75" thickBot="1">
      <c r="E12" s="48">
        <f>Inputs!B20</f>
        <v>3</v>
      </c>
    </row>
    <row r="13" spans="1:5" ht="45">
      <c r="C13" s="12" t="s">
        <v>266</v>
      </c>
      <c r="D13" s="47" t="s">
        <v>262</v>
      </c>
      <c r="E13" s="12" t="s">
        <v>263</v>
      </c>
    </row>
    <row r="14" spans="1:5">
      <c r="A14">
        <v>1</v>
      </c>
      <c r="B14" t="s">
        <v>11</v>
      </c>
      <c r="C14">
        <v>5</v>
      </c>
      <c r="D14" s="49">
        <f>C14/MAX($C$14:$C$48)*10</f>
        <v>10</v>
      </c>
      <c r="E14" s="49">
        <f>D14*$E$12</f>
        <v>30</v>
      </c>
    </row>
    <row r="15" spans="1:5">
      <c r="A15">
        <f t="shared" ref="A15:A48" si="0">+A14+1</f>
        <v>2</v>
      </c>
      <c r="B15" t="s">
        <v>13</v>
      </c>
      <c r="C15">
        <v>4</v>
      </c>
      <c r="D15" s="49">
        <f t="shared" ref="D15:D48" si="1">C15/MAX($C$14:$C$48)*10</f>
        <v>8</v>
      </c>
      <c r="E15" s="49">
        <f t="shared" ref="E15:E48" si="2">D15*$E$12</f>
        <v>24</v>
      </c>
    </row>
    <row r="16" spans="1:5">
      <c r="A16">
        <f t="shared" si="0"/>
        <v>3</v>
      </c>
      <c r="B16" t="s">
        <v>14</v>
      </c>
      <c r="C16">
        <v>5</v>
      </c>
      <c r="D16" s="49">
        <f t="shared" si="1"/>
        <v>10</v>
      </c>
      <c r="E16" s="49">
        <f t="shared" si="2"/>
        <v>30</v>
      </c>
    </row>
    <row r="17" spans="1:5">
      <c r="A17">
        <f t="shared" si="0"/>
        <v>4</v>
      </c>
      <c r="B17" t="s">
        <v>17</v>
      </c>
      <c r="C17">
        <v>2</v>
      </c>
      <c r="D17" s="49">
        <f t="shared" si="1"/>
        <v>4</v>
      </c>
      <c r="E17" s="49">
        <f t="shared" si="2"/>
        <v>12</v>
      </c>
    </row>
    <row r="18" spans="1:5">
      <c r="A18">
        <f t="shared" si="0"/>
        <v>5</v>
      </c>
      <c r="B18" t="s">
        <v>18</v>
      </c>
      <c r="C18">
        <v>5</v>
      </c>
      <c r="D18" s="49">
        <f t="shared" si="1"/>
        <v>10</v>
      </c>
      <c r="E18" s="49">
        <f t="shared" si="2"/>
        <v>30</v>
      </c>
    </row>
    <row r="19" spans="1:5">
      <c r="A19">
        <f t="shared" si="0"/>
        <v>6</v>
      </c>
      <c r="B19" t="s">
        <v>19</v>
      </c>
      <c r="C19">
        <v>5</v>
      </c>
      <c r="D19" s="49">
        <f t="shared" si="1"/>
        <v>10</v>
      </c>
      <c r="E19" s="49">
        <f t="shared" si="2"/>
        <v>30</v>
      </c>
    </row>
    <row r="20" spans="1:5">
      <c r="A20">
        <f t="shared" si="0"/>
        <v>7</v>
      </c>
      <c r="B20" t="s">
        <v>20</v>
      </c>
      <c r="C20">
        <v>4</v>
      </c>
      <c r="D20" s="49">
        <f t="shared" si="1"/>
        <v>8</v>
      </c>
      <c r="E20" s="49">
        <f t="shared" si="2"/>
        <v>24</v>
      </c>
    </row>
    <row r="21" spans="1:5">
      <c r="A21">
        <f t="shared" si="0"/>
        <v>8</v>
      </c>
      <c r="B21" t="s">
        <v>21</v>
      </c>
      <c r="C21">
        <v>4</v>
      </c>
      <c r="D21" s="49">
        <f t="shared" si="1"/>
        <v>8</v>
      </c>
      <c r="E21" s="49">
        <f t="shared" si="2"/>
        <v>24</v>
      </c>
    </row>
    <row r="22" spans="1:5">
      <c r="A22">
        <f t="shared" si="0"/>
        <v>9</v>
      </c>
      <c r="B22" t="s">
        <v>22</v>
      </c>
      <c r="C22">
        <v>4</v>
      </c>
      <c r="D22" s="49">
        <f t="shared" si="1"/>
        <v>8</v>
      </c>
      <c r="E22" s="49">
        <f t="shared" si="2"/>
        <v>24</v>
      </c>
    </row>
    <row r="23" spans="1:5">
      <c r="A23">
        <f t="shared" si="0"/>
        <v>10</v>
      </c>
      <c r="B23" t="s">
        <v>23</v>
      </c>
      <c r="C23">
        <v>4</v>
      </c>
      <c r="D23" s="49">
        <f t="shared" si="1"/>
        <v>8</v>
      </c>
      <c r="E23" s="49">
        <f t="shared" si="2"/>
        <v>24</v>
      </c>
    </row>
    <row r="24" spans="1:5">
      <c r="A24">
        <f t="shared" si="0"/>
        <v>11</v>
      </c>
      <c r="B24" t="s">
        <v>25</v>
      </c>
      <c r="C24">
        <v>4</v>
      </c>
      <c r="D24" s="49">
        <f t="shared" si="1"/>
        <v>8</v>
      </c>
      <c r="E24" s="49">
        <f t="shared" si="2"/>
        <v>24</v>
      </c>
    </row>
    <row r="25" spans="1:5">
      <c r="A25">
        <f t="shared" si="0"/>
        <v>12</v>
      </c>
      <c r="B25" t="s">
        <v>27</v>
      </c>
      <c r="C25">
        <v>3</v>
      </c>
      <c r="D25" s="49">
        <f t="shared" si="1"/>
        <v>6</v>
      </c>
      <c r="E25" s="49">
        <f t="shared" si="2"/>
        <v>18</v>
      </c>
    </row>
    <row r="26" spans="1:5">
      <c r="A26">
        <f t="shared" si="0"/>
        <v>13</v>
      </c>
      <c r="B26" t="s">
        <v>28</v>
      </c>
      <c r="C26">
        <v>3</v>
      </c>
      <c r="D26" s="49">
        <f t="shared" si="1"/>
        <v>6</v>
      </c>
      <c r="E26" s="49">
        <f t="shared" si="2"/>
        <v>18</v>
      </c>
    </row>
    <row r="27" spans="1:5">
      <c r="A27">
        <f t="shared" si="0"/>
        <v>14</v>
      </c>
      <c r="B27" t="s">
        <v>29</v>
      </c>
      <c r="C27">
        <v>4</v>
      </c>
      <c r="D27" s="49">
        <f t="shared" si="1"/>
        <v>8</v>
      </c>
      <c r="E27" s="49">
        <f t="shared" si="2"/>
        <v>24</v>
      </c>
    </row>
    <row r="28" spans="1:5">
      <c r="A28">
        <f t="shared" si="0"/>
        <v>15</v>
      </c>
      <c r="B28" t="s">
        <v>61</v>
      </c>
      <c r="C28">
        <v>5</v>
      </c>
      <c r="D28" s="49">
        <f t="shared" si="1"/>
        <v>10</v>
      </c>
      <c r="E28" s="49">
        <f t="shared" si="2"/>
        <v>30</v>
      </c>
    </row>
    <row r="29" spans="1:5">
      <c r="A29">
        <f t="shared" si="0"/>
        <v>16</v>
      </c>
      <c r="B29" t="s">
        <v>31</v>
      </c>
      <c r="C29">
        <v>3</v>
      </c>
      <c r="D29" s="49">
        <f t="shared" si="1"/>
        <v>6</v>
      </c>
      <c r="E29" s="49">
        <f t="shared" si="2"/>
        <v>18</v>
      </c>
    </row>
    <row r="30" spans="1:5">
      <c r="A30">
        <f t="shared" si="0"/>
        <v>17</v>
      </c>
      <c r="B30" t="s">
        <v>33</v>
      </c>
      <c r="C30">
        <v>4</v>
      </c>
      <c r="D30" s="49">
        <f t="shared" si="1"/>
        <v>8</v>
      </c>
      <c r="E30" s="49">
        <f t="shared" si="2"/>
        <v>24</v>
      </c>
    </row>
    <row r="31" spans="1:5">
      <c r="A31">
        <f t="shared" si="0"/>
        <v>18</v>
      </c>
      <c r="B31" t="s">
        <v>34</v>
      </c>
      <c r="C31">
        <v>4</v>
      </c>
      <c r="D31" s="49">
        <f t="shared" si="1"/>
        <v>8</v>
      </c>
      <c r="E31" s="49">
        <f t="shared" si="2"/>
        <v>24</v>
      </c>
    </row>
    <row r="32" spans="1:5">
      <c r="A32">
        <f t="shared" si="0"/>
        <v>19</v>
      </c>
      <c r="B32" t="s">
        <v>35</v>
      </c>
      <c r="C32">
        <v>4</v>
      </c>
      <c r="D32" s="49">
        <f t="shared" si="1"/>
        <v>8</v>
      </c>
      <c r="E32" s="49">
        <f t="shared" si="2"/>
        <v>24</v>
      </c>
    </row>
    <row r="33" spans="1:5">
      <c r="A33">
        <f t="shared" si="0"/>
        <v>20</v>
      </c>
      <c r="B33" t="s">
        <v>36</v>
      </c>
      <c r="C33">
        <v>4</v>
      </c>
      <c r="D33" s="49">
        <f t="shared" si="1"/>
        <v>8</v>
      </c>
      <c r="E33" s="49">
        <f t="shared" si="2"/>
        <v>24</v>
      </c>
    </row>
    <row r="34" spans="1:5">
      <c r="A34">
        <f t="shared" si="0"/>
        <v>21</v>
      </c>
      <c r="B34" t="s">
        <v>37</v>
      </c>
      <c r="C34">
        <v>3</v>
      </c>
      <c r="D34" s="49">
        <f t="shared" si="1"/>
        <v>6</v>
      </c>
      <c r="E34" s="49">
        <f t="shared" si="2"/>
        <v>18</v>
      </c>
    </row>
    <row r="35" spans="1:5">
      <c r="A35">
        <f t="shared" si="0"/>
        <v>22</v>
      </c>
      <c r="B35" t="s">
        <v>38</v>
      </c>
      <c r="C35">
        <v>3</v>
      </c>
      <c r="D35" s="49">
        <f t="shared" si="1"/>
        <v>6</v>
      </c>
      <c r="E35" s="49">
        <f t="shared" si="2"/>
        <v>18</v>
      </c>
    </row>
    <row r="36" spans="1:5">
      <c r="A36">
        <f t="shared" si="0"/>
        <v>23</v>
      </c>
      <c r="B36" t="s">
        <v>39</v>
      </c>
      <c r="C36">
        <v>5</v>
      </c>
      <c r="D36" s="49">
        <f t="shared" si="1"/>
        <v>10</v>
      </c>
      <c r="E36" s="49">
        <f t="shared" si="2"/>
        <v>30</v>
      </c>
    </row>
    <row r="37" spans="1:5">
      <c r="A37">
        <f t="shared" si="0"/>
        <v>24</v>
      </c>
      <c r="B37" t="s">
        <v>52</v>
      </c>
      <c r="C37">
        <v>5</v>
      </c>
      <c r="D37" s="49">
        <f t="shared" si="1"/>
        <v>10</v>
      </c>
      <c r="E37" s="49">
        <f t="shared" si="2"/>
        <v>30</v>
      </c>
    </row>
    <row r="38" spans="1:5">
      <c r="A38">
        <f t="shared" si="0"/>
        <v>25</v>
      </c>
      <c r="B38" t="s">
        <v>40</v>
      </c>
      <c r="C38">
        <v>5</v>
      </c>
      <c r="D38" s="49">
        <f t="shared" si="1"/>
        <v>10</v>
      </c>
      <c r="E38" s="49">
        <f t="shared" si="2"/>
        <v>30</v>
      </c>
    </row>
    <row r="39" spans="1:5">
      <c r="A39">
        <f t="shared" si="0"/>
        <v>26</v>
      </c>
      <c r="B39" t="s">
        <v>41</v>
      </c>
      <c r="C39">
        <v>5</v>
      </c>
      <c r="D39" s="49">
        <f t="shared" si="1"/>
        <v>10</v>
      </c>
      <c r="E39" s="49">
        <f t="shared" si="2"/>
        <v>30</v>
      </c>
    </row>
    <row r="40" spans="1:5">
      <c r="A40">
        <f t="shared" si="0"/>
        <v>27</v>
      </c>
      <c r="B40" t="s">
        <v>53</v>
      </c>
      <c r="C40">
        <v>5</v>
      </c>
      <c r="D40" s="49">
        <f t="shared" si="1"/>
        <v>10</v>
      </c>
      <c r="E40" s="49">
        <f t="shared" si="2"/>
        <v>30</v>
      </c>
    </row>
    <row r="41" spans="1:5">
      <c r="A41">
        <f t="shared" si="0"/>
        <v>28</v>
      </c>
      <c r="B41" t="s">
        <v>42</v>
      </c>
      <c r="C41">
        <v>4</v>
      </c>
      <c r="D41" s="49">
        <f t="shared" si="1"/>
        <v>8</v>
      </c>
      <c r="E41" s="49">
        <f t="shared" si="2"/>
        <v>24</v>
      </c>
    </row>
    <row r="42" spans="1:5">
      <c r="A42">
        <f t="shared" si="0"/>
        <v>29</v>
      </c>
      <c r="B42" t="s">
        <v>43</v>
      </c>
      <c r="C42">
        <v>3</v>
      </c>
      <c r="D42" s="49">
        <f t="shared" si="1"/>
        <v>6</v>
      </c>
      <c r="E42" s="49">
        <f t="shared" si="2"/>
        <v>18</v>
      </c>
    </row>
    <row r="43" spans="1:5">
      <c r="A43">
        <f t="shared" si="0"/>
        <v>30</v>
      </c>
      <c r="B43" t="s">
        <v>44</v>
      </c>
      <c r="C43">
        <v>5</v>
      </c>
      <c r="D43" s="49">
        <f t="shared" si="1"/>
        <v>10</v>
      </c>
      <c r="E43" s="49">
        <f t="shared" si="2"/>
        <v>30</v>
      </c>
    </row>
    <row r="44" spans="1:5">
      <c r="A44">
        <f t="shared" si="0"/>
        <v>31</v>
      </c>
      <c r="B44" t="s">
        <v>46</v>
      </c>
      <c r="C44">
        <v>3</v>
      </c>
      <c r="D44" s="49">
        <f t="shared" si="1"/>
        <v>6</v>
      </c>
      <c r="E44" s="49">
        <f t="shared" si="2"/>
        <v>18</v>
      </c>
    </row>
    <row r="45" spans="1:5">
      <c r="A45">
        <f t="shared" si="0"/>
        <v>32</v>
      </c>
      <c r="B45" t="s">
        <v>47</v>
      </c>
      <c r="C45">
        <v>1</v>
      </c>
      <c r="D45" s="49">
        <f t="shared" si="1"/>
        <v>2</v>
      </c>
      <c r="E45" s="49">
        <f t="shared" si="2"/>
        <v>6</v>
      </c>
    </row>
    <row r="46" spans="1:5">
      <c r="A46">
        <f t="shared" si="0"/>
        <v>33</v>
      </c>
      <c r="B46" t="s">
        <v>62</v>
      </c>
      <c r="C46">
        <v>3</v>
      </c>
      <c r="D46" s="49">
        <f t="shared" si="1"/>
        <v>6</v>
      </c>
      <c r="E46" s="49">
        <f t="shared" si="2"/>
        <v>18</v>
      </c>
    </row>
    <row r="47" spans="1:5">
      <c r="A47">
        <f t="shared" si="0"/>
        <v>34</v>
      </c>
      <c r="B47" t="s">
        <v>48</v>
      </c>
      <c r="C47">
        <v>1</v>
      </c>
      <c r="D47" s="49">
        <f t="shared" si="1"/>
        <v>2</v>
      </c>
      <c r="E47" s="49">
        <f t="shared" si="2"/>
        <v>6</v>
      </c>
    </row>
    <row r="48" spans="1:5">
      <c r="A48">
        <f t="shared" si="0"/>
        <v>35</v>
      </c>
      <c r="B48" t="s">
        <v>49</v>
      </c>
      <c r="C48">
        <v>5</v>
      </c>
      <c r="D48" s="49">
        <f t="shared" si="1"/>
        <v>10</v>
      </c>
      <c r="E48" s="49">
        <f t="shared" si="2"/>
        <v>30</v>
      </c>
    </row>
    <row r="50" spans="1:6" s="52" customFormat="1">
      <c r="A50" s="52">
        <f>OBJ!C2</f>
        <v>5</v>
      </c>
      <c r="B50" s="52" t="str">
        <f>OBJ!B2</f>
        <v>East Village</v>
      </c>
      <c r="E50" s="55">
        <f>VLOOKUP(B50,B14:E48,4,)</f>
        <v>30</v>
      </c>
    </row>
    <row r="51" spans="1:6">
      <c r="A51">
        <f>OBJ!C3</f>
        <v>33</v>
      </c>
      <c r="B51" s="15" t="str">
        <f>OBJ!B3</f>
        <v>Upper West Side</v>
      </c>
      <c r="D51" s="15"/>
      <c r="E51" s="74">
        <f>VLOOKUP(A51,A14:E48,5,)</f>
        <v>18</v>
      </c>
      <c r="F51" s="15"/>
    </row>
    <row r="52" spans="1:6">
      <c r="A52">
        <f>OBJ!C4</f>
        <v>18</v>
      </c>
      <c r="B52" s="15" t="str">
        <f>OBJ!B4</f>
        <v>Midtown East</v>
      </c>
      <c r="D52" s="15"/>
      <c r="E52" s="74">
        <f>VLOOKUP(A52,A14:E48,5,)</f>
        <v>24</v>
      </c>
      <c r="F52" s="15"/>
    </row>
  </sheetData>
  <phoneticPr fontId="0" type="noConversion"/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2"/>
  <sheetViews>
    <sheetView workbookViewId="0"/>
  </sheetViews>
  <sheetFormatPr defaultRowHeight="15"/>
  <cols>
    <col min="1" max="1" width="8.42578125" bestFit="1" customWidth="1"/>
    <col min="2" max="2" width="27.42578125" bestFit="1" customWidth="1"/>
    <col min="6" max="6" width="13.28515625" customWidth="1"/>
  </cols>
  <sheetData>
    <row r="1" spans="1:7" ht="15.75" thickBot="1">
      <c r="D1" s="27" t="s">
        <v>264</v>
      </c>
      <c r="F1">
        <f>AVERAGE(F4:F38)</f>
        <v>1.1714285714285715</v>
      </c>
      <c r="G1" t="s">
        <v>276</v>
      </c>
    </row>
    <row r="2" spans="1:7" ht="15.75" thickBot="1">
      <c r="D2" s="48">
        <f>Inputs!B21</f>
        <v>23</v>
      </c>
      <c r="F2">
        <f>STDEV(F4:F38)</f>
        <v>1.7061431269819947</v>
      </c>
      <c r="G2" t="s">
        <v>277</v>
      </c>
    </row>
    <row r="3" spans="1:7" s="23" customFormat="1" ht="60">
      <c r="C3" s="47" t="s">
        <v>262</v>
      </c>
      <c r="D3" s="12" t="s">
        <v>263</v>
      </c>
      <c r="F3" s="23" t="s">
        <v>187</v>
      </c>
      <c r="G3" s="28" t="s">
        <v>188</v>
      </c>
    </row>
    <row r="4" spans="1:7">
      <c r="A4">
        <v>1</v>
      </c>
      <c r="B4" t="s">
        <v>11</v>
      </c>
      <c r="C4" s="49">
        <f>NORMDIST(F4,$F$1,$F$2,TRUE)*10</f>
        <v>4.5998272120006289</v>
      </c>
      <c r="D4" s="49">
        <f>C4*$D$2</f>
        <v>105.79602587601447</v>
      </c>
      <c r="F4">
        <v>1</v>
      </c>
    </row>
    <row r="5" spans="1:7">
      <c r="A5">
        <f t="shared" ref="A5:A38" si="0">+A4+1</f>
        <v>2</v>
      </c>
      <c r="B5" t="s">
        <v>13</v>
      </c>
      <c r="C5" s="49">
        <f t="shared" ref="C5:C38" si="1">NORMDIST(F5,$F$1,$F$2,TRUE)*10</f>
        <v>6.863888012447946</v>
      </c>
      <c r="D5" s="49">
        <f t="shared" ref="D5:D38" si="2">C5*$D$2</f>
        <v>157.86942428630275</v>
      </c>
      <c r="F5">
        <v>2</v>
      </c>
    </row>
    <row r="6" spans="1:7">
      <c r="A6">
        <f t="shared" si="0"/>
        <v>3</v>
      </c>
      <c r="B6" t="s">
        <v>14</v>
      </c>
      <c r="C6" s="49">
        <f t="shared" si="1"/>
        <v>2.461691321121493</v>
      </c>
      <c r="D6" s="49">
        <f t="shared" si="2"/>
        <v>56.61890038579434</v>
      </c>
      <c r="F6">
        <v>0</v>
      </c>
    </row>
    <row r="7" spans="1:7">
      <c r="A7">
        <f t="shared" si="0"/>
        <v>4</v>
      </c>
      <c r="B7" t="s">
        <v>17</v>
      </c>
      <c r="C7" s="49">
        <f t="shared" si="1"/>
        <v>2.461691321121493</v>
      </c>
      <c r="D7" s="49">
        <f t="shared" si="2"/>
        <v>56.61890038579434</v>
      </c>
      <c r="F7">
        <v>0</v>
      </c>
    </row>
    <row r="8" spans="1:7">
      <c r="A8">
        <f t="shared" si="0"/>
        <v>5</v>
      </c>
      <c r="B8" t="s">
        <v>18</v>
      </c>
      <c r="C8" s="49">
        <f t="shared" si="1"/>
        <v>9.5132861444756696</v>
      </c>
      <c r="D8" s="49">
        <f t="shared" si="2"/>
        <v>218.80558132294041</v>
      </c>
      <c r="F8">
        <v>4</v>
      </c>
    </row>
    <row r="9" spans="1:7">
      <c r="A9">
        <f t="shared" si="0"/>
        <v>6</v>
      </c>
      <c r="B9" t="s">
        <v>19</v>
      </c>
      <c r="C9" s="49">
        <f t="shared" si="1"/>
        <v>2.461691321121493</v>
      </c>
      <c r="D9" s="49">
        <f t="shared" si="2"/>
        <v>56.61890038579434</v>
      </c>
      <c r="F9">
        <v>0</v>
      </c>
    </row>
    <row r="10" spans="1:7">
      <c r="A10">
        <f t="shared" si="0"/>
        <v>7</v>
      </c>
      <c r="B10" t="s">
        <v>20</v>
      </c>
      <c r="C10" s="49">
        <f t="shared" si="1"/>
        <v>4.5998272120006289</v>
      </c>
      <c r="D10" s="49">
        <f t="shared" si="2"/>
        <v>105.79602587601447</v>
      </c>
      <c r="F10">
        <v>1</v>
      </c>
    </row>
    <row r="11" spans="1:7">
      <c r="A11">
        <f t="shared" si="0"/>
        <v>8</v>
      </c>
      <c r="B11" t="s">
        <v>21</v>
      </c>
      <c r="C11" s="49">
        <f t="shared" si="1"/>
        <v>2.461691321121493</v>
      </c>
      <c r="D11" s="49">
        <f t="shared" si="2"/>
        <v>56.61890038579434</v>
      </c>
      <c r="F11">
        <v>0</v>
      </c>
    </row>
    <row r="12" spans="1:7">
      <c r="A12">
        <f t="shared" si="0"/>
        <v>9</v>
      </c>
      <c r="B12" t="s">
        <v>22</v>
      </c>
      <c r="C12" s="49">
        <f t="shared" si="1"/>
        <v>2.461691321121493</v>
      </c>
      <c r="D12" s="49">
        <f t="shared" si="2"/>
        <v>56.61890038579434</v>
      </c>
      <c r="F12">
        <v>0</v>
      </c>
    </row>
    <row r="13" spans="1:7">
      <c r="A13">
        <f t="shared" si="0"/>
        <v>10</v>
      </c>
      <c r="B13" t="s">
        <v>23</v>
      </c>
      <c r="C13" s="49">
        <f t="shared" si="1"/>
        <v>9.5132861444756696</v>
      </c>
      <c r="D13" s="49">
        <f t="shared" si="2"/>
        <v>218.80558132294041</v>
      </c>
      <c r="F13">
        <v>4</v>
      </c>
    </row>
    <row r="14" spans="1:7">
      <c r="A14">
        <f t="shared" si="0"/>
        <v>11</v>
      </c>
      <c r="B14" t="s">
        <v>25</v>
      </c>
      <c r="C14" s="49">
        <f t="shared" si="1"/>
        <v>4.5998272120006289</v>
      </c>
      <c r="D14" s="49">
        <f t="shared" si="2"/>
        <v>105.79602587601447</v>
      </c>
      <c r="F14">
        <v>1</v>
      </c>
    </row>
    <row r="15" spans="1:7">
      <c r="A15">
        <f t="shared" si="0"/>
        <v>12</v>
      </c>
      <c r="B15" t="s">
        <v>27</v>
      </c>
      <c r="C15" s="49">
        <f t="shared" si="1"/>
        <v>2.461691321121493</v>
      </c>
      <c r="D15" s="49">
        <f t="shared" si="2"/>
        <v>56.61890038579434</v>
      </c>
      <c r="F15">
        <v>0</v>
      </c>
    </row>
    <row r="16" spans="1:7">
      <c r="A16">
        <f t="shared" si="0"/>
        <v>13</v>
      </c>
      <c r="B16" t="s">
        <v>28</v>
      </c>
      <c r="C16" s="49">
        <f t="shared" si="1"/>
        <v>4.5998272120006289</v>
      </c>
      <c r="D16" s="49">
        <f t="shared" si="2"/>
        <v>105.79602587601447</v>
      </c>
      <c r="F16">
        <v>1</v>
      </c>
    </row>
    <row r="17" spans="1:6">
      <c r="A17">
        <f t="shared" si="0"/>
        <v>14</v>
      </c>
      <c r="B17" t="s">
        <v>29</v>
      </c>
      <c r="C17" s="49">
        <f t="shared" si="1"/>
        <v>2.461691321121493</v>
      </c>
      <c r="D17" s="49">
        <f t="shared" si="2"/>
        <v>56.61890038579434</v>
      </c>
      <c r="F17">
        <v>0</v>
      </c>
    </row>
    <row r="18" spans="1:6">
      <c r="A18">
        <f t="shared" si="0"/>
        <v>15</v>
      </c>
      <c r="B18" t="s">
        <v>61</v>
      </c>
      <c r="C18" s="49">
        <f t="shared" si="1"/>
        <v>2.461691321121493</v>
      </c>
      <c r="D18" s="49">
        <f t="shared" si="2"/>
        <v>56.61890038579434</v>
      </c>
      <c r="F18">
        <v>0</v>
      </c>
    </row>
    <row r="19" spans="1:6">
      <c r="A19">
        <f t="shared" si="0"/>
        <v>16</v>
      </c>
      <c r="B19" t="s">
        <v>31</v>
      </c>
      <c r="C19" s="49">
        <f t="shared" si="1"/>
        <v>4.5998272120006289</v>
      </c>
      <c r="D19" s="49">
        <f t="shared" si="2"/>
        <v>105.79602587601447</v>
      </c>
      <c r="F19">
        <v>1</v>
      </c>
    </row>
    <row r="20" spans="1:6">
      <c r="A20">
        <f t="shared" si="0"/>
        <v>17</v>
      </c>
      <c r="B20" t="s">
        <v>33</v>
      </c>
      <c r="C20" s="49">
        <f t="shared" si="1"/>
        <v>6.863888012447946</v>
      </c>
      <c r="D20" s="49">
        <f t="shared" si="2"/>
        <v>157.86942428630275</v>
      </c>
      <c r="F20">
        <v>2</v>
      </c>
    </row>
    <row r="21" spans="1:6">
      <c r="A21">
        <f t="shared" si="0"/>
        <v>18</v>
      </c>
      <c r="B21" t="s">
        <v>34</v>
      </c>
      <c r="C21" s="49">
        <f t="shared" si="1"/>
        <v>6.863888012447946</v>
      </c>
      <c r="D21" s="49">
        <f t="shared" si="2"/>
        <v>157.86942428630275</v>
      </c>
      <c r="F21">
        <v>2</v>
      </c>
    </row>
    <row r="22" spans="1:6">
      <c r="A22">
        <f t="shared" si="0"/>
        <v>19</v>
      </c>
      <c r="B22" t="s">
        <v>35</v>
      </c>
      <c r="C22" s="49">
        <f t="shared" si="1"/>
        <v>2.461691321121493</v>
      </c>
      <c r="D22" s="49">
        <f t="shared" si="2"/>
        <v>56.61890038579434</v>
      </c>
      <c r="F22">
        <v>0</v>
      </c>
    </row>
    <row r="23" spans="1:6">
      <c r="A23">
        <f t="shared" si="0"/>
        <v>20</v>
      </c>
      <c r="B23" t="s">
        <v>36</v>
      </c>
      <c r="C23" s="49">
        <f t="shared" si="1"/>
        <v>2.461691321121493</v>
      </c>
      <c r="D23" s="49">
        <f t="shared" si="2"/>
        <v>56.61890038579434</v>
      </c>
      <c r="F23">
        <v>0</v>
      </c>
    </row>
    <row r="24" spans="1:6">
      <c r="A24">
        <f t="shared" si="0"/>
        <v>21</v>
      </c>
      <c r="B24" t="s">
        <v>37</v>
      </c>
      <c r="C24" s="49">
        <f t="shared" si="1"/>
        <v>4.5998272120006289</v>
      </c>
      <c r="D24" s="49">
        <f t="shared" si="2"/>
        <v>105.79602587601447</v>
      </c>
      <c r="F24">
        <v>1</v>
      </c>
    </row>
    <row r="25" spans="1:6">
      <c r="A25">
        <f t="shared" si="0"/>
        <v>22</v>
      </c>
      <c r="B25" t="s">
        <v>38</v>
      </c>
      <c r="C25" s="49">
        <f t="shared" si="1"/>
        <v>4.5998272120006289</v>
      </c>
      <c r="D25" s="49">
        <f t="shared" si="2"/>
        <v>105.79602587601447</v>
      </c>
      <c r="F25">
        <v>1</v>
      </c>
    </row>
    <row r="26" spans="1:6">
      <c r="A26">
        <f t="shared" si="0"/>
        <v>23</v>
      </c>
      <c r="B26" t="s">
        <v>39</v>
      </c>
      <c r="C26" s="49">
        <f t="shared" si="1"/>
        <v>2.461691321121493</v>
      </c>
      <c r="D26" s="49">
        <f t="shared" si="2"/>
        <v>56.61890038579434</v>
      </c>
      <c r="F26">
        <v>0</v>
      </c>
    </row>
    <row r="27" spans="1:6">
      <c r="A27">
        <f t="shared" si="0"/>
        <v>24</v>
      </c>
      <c r="B27" t="s">
        <v>52</v>
      </c>
      <c r="C27" s="49">
        <f t="shared" si="1"/>
        <v>2.461691321121493</v>
      </c>
      <c r="D27" s="49">
        <f t="shared" si="2"/>
        <v>56.61890038579434</v>
      </c>
      <c r="F27">
        <v>0</v>
      </c>
    </row>
    <row r="28" spans="1:6">
      <c r="A28">
        <f t="shared" si="0"/>
        <v>25</v>
      </c>
      <c r="B28" t="s">
        <v>40</v>
      </c>
      <c r="C28" s="49">
        <f t="shared" si="1"/>
        <v>2.461691321121493</v>
      </c>
      <c r="D28" s="49">
        <f t="shared" si="2"/>
        <v>56.61890038579434</v>
      </c>
      <c r="F28">
        <v>0</v>
      </c>
    </row>
    <row r="29" spans="1:6">
      <c r="A29">
        <f t="shared" si="0"/>
        <v>26</v>
      </c>
      <c r="B29" t="s">
        <v>41</v>
      </c>
      <c r="C29" s="49">
        <f t="shared" si="1"/>
        <v>6.863888012447946</v>
      </c>
      <c r="D29" s="49">
        <f t="shared" si="2"/>
        <v>157.86942428630275</v>
      </c>
      <c r="F29">
        <v>2</v>
      </c>
    </row>
    <row r="30" spans="1:6">
      <c r="A30">
        <f t="shared" si="0"/>
        <v>27</v>
      </c>
      <c r="B30" t="s">
        <v>53</v>
      </c>
      <c r="C30" s="49">
        <f t="shared" si="1"/>
        <v>2.461691321121493</v>
      </c>
      <c r="D30" s="49">
        <f t="shared" si="2"/>
        <v>56.61890038579434</v>
      </c>
      <c r="F30">
        <v>0</v>
      </c>
    </row>
    <row r="31" spans="1:6">
      <c r="A31">
        <f t="shared" si="0"/>
        <v>28</v>
      </c>
      <c r="B31" t="s">
        <v>42</v>
      </c>
      <c r="C31" s="49">
        <f t="shared" si="1"/>
        <v>2.461691321121493</v>
      </c>
      <c r="D31" s="49">
        <f t="shared" si="2"/>
        <v>56.61890038579434</v>
      </c>
      <c r="F31">
        <v>0</v>
      </c>
    </row>
    <row r="32" spans="1:6">
      <c r="A32">
        <f t="shared" si="0"/>
        <v>29</v>
      </c>
      <c r="B32" t="s">
        <v>43</v>
      </c>
      <c r="C32" s="49">
        <f t="shared" si="1"/>
        <v>9.5132861444756696</v>
      </c>
      <c r="D32" s="49">
        <f t="shared" si="2"/>
        <v>218.80558132294041</v>
      </c>
      <c r="F32">
        <v>4</v>
      </c>
    </row>
    <row r="33" spans="1:6">
      <c r="A33">
        <f t="shared" si="0"/>
        <v>30</v>
      </c>
      <c r="B33" t="s">
        <v>44</v>
      </c>
      <c r="C33" s="49">
        <f t="shared" si="1"/>
        <v>4.5998272120006289</v>
      </c>
      <c r="D33" s="49">
        <f t="shared" si="2"/>
        <v>105.79602587601447</v>
      </c>
      <c r="F33">
        <v>1</v>
      </c>
    </row>
    <row r="34" spans="1:6">
      <c r="A34">
        <f t="shared" si="0"/>
        <v>31</v>
      </c>
      <c r="B34" t="s">
        <v>46</v>
      </c>
      <c r="C34" s="49">
        <f t="shared" si="1"/>
        <v>4.5998272120006289</v>
      </c>
      <c r="D34" s="49">
        <f t="shared" si="2"/>
        <v>105.79602587601447</v>
      </c>
      <c r="F34">
        <v>1</v>
      </c>
    </row>
    <row r="35" spans="1:6">
      <c r="A35">
        <f t="shared" si="0"/>
        <v>32</v>
      </c>
      <c r="B35" t="s">
        <v>47</v>
      </c>
      <c r="C35" s="49">
        <f t="shared" si="1"/>
        <v>9.9996864096822957</v>
      </c>
      <c r="D35" s="49">
        <f t="shared" si="2"/>
        <v>229.9927874226928</v>
      </c>
      <c r="F35">
        <v>8</v>
      </c>
    </row>
    <row r="36" spans="1:6">
      <c r="A36">
        <f t="shared" si="0"/>
        <v>33</v>
      </c>
      <c r="B36" t="s">
        <v>62</v>
      </c>
      <c r="C36" s="49">
        <f t="shared" si="1"/>
        <v>8.5808548185715861</v>
      </c>
      <c r="D36" s="49">
        <f t="shared" si="2"/>
        <v>197.35966082714648</v>
      </c>
      <c r="F36">
        <v>3</v>
      </c>
    </row>
    <row r="37" spans="1:6">
      <c r="A37">
        <f t="shared" si="0"/>
        <v>34</v>
      </c>
      <c r="B37" t="s">
        <v>48</v>
      </c>
      <c r="C37" s="49">
        <f t="shared" si="1"/>
        <v>4.5998272120006289</v>
      </c>
      <c r="D37" s="49">
        <f t="shared" si="2"/>
        <v>105.79602587601447</v>
      </c>
      <c r="F37">
        <v>1</v>
      </c>
    </row>
    <row r="38" spans="1:6">
      <c r="A38">
        <f t="shared" si="0"/>
        <v>35</v>
      </c>
      <c r="B38" t="s">
        <v>49</v>
      </c>
      <c r="C38" s="49">
        <f t="shared" si="1"/>
        <v>2.461691321121493</v>
      </c>
      <c r="D38" s="49">
        <f t="shared" si="2"/>
        <v>56.61890038579434</v>
      </c>
      <c r="F38">
        <v>0</v>
      </c>
    </row>
    <row r="40" spans="1:6" s="52" customFormat="1">
      <c r="A40" s="52">
        <f>OBJ!C2</f>
        <v>5</v>
      </c>
      <c r="B40" s="52" t="str">
        <f>OBJ!B2</f>
        <v>East Village</v>
      </c>
      <c r="D40" s="55">
        <f>VLOOKUP(B40,B4:D38,3,)</f>
        <v>218.80558132294041</v>
      </c>
    </row>
    <row r="41" spans="1:6">
      <c r="A41">
        <f>OBJ!C3</f>
        <v>33</v>
      </c>
      <c r="D41">
        <f>VLOOKUP(A41,A4:D38,4,)</f>
        <v>197.35966082714648</v>
      </c>
    </row>
    <row r="42" spans="1:6">
      <c r="A42">
        <f>OBJ!C4</f>
        <v>18</v>
      </c>
      <c r="D42">
        <f>VLOOKUP(A42,A4:D38,4,)</f>
        <v>157.86942428630275</v>
      </c>
    </row>
  </sheetData>
  <phoneticPr fontId="0" type="noConversion"/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D3" sqref="D3"/>
    </sheetView>
  </sheetViews>
  <sheetFormatPr defaultRowHeight="15"/>
  <cols>
    <col min="1" max="1" width="3" bestFit="1" customWidth="1"/>
    <col min="2" max="2" width="27.42578125" bestFit="1" customWidth="1"/>
    <col min="4" max="4" width="12" bestFit="1" customWidth="1"/>
    <col min="5" max="5" width="12" customWidth="1"/>
  </cols>
  <sheetData>
    <row r="1" spans="1:7">
      <c r="B1" t="s">
        <v>295</v>
      </c>
      <c r="C1" s="7">
        <f>Inputs!B12</f>
        <v>50</v>
      </c>
    </row>
    <row r="3" spans="1:7" ht="30">
      <c r="B3" s="16" t="s">
        <v>302</v>
      </c>
      <c r="C3" t="s">
        <v>300</v>
      </c>
      <c r="D3" s="12" t="s">
        <v>263</v>
      </c>
      <c r="G3" s="17" t="s">
        <v>305</v>
      </c>
    </row>
    <row r="4" spans="1:7">
      <c r="B4" s="16"/>
      <c r="C4" t="s">
        <v>297</v>
      </c>
      <c r="D4" t="s">
        <v>298</v>
      </c>
      <c r="G4" t="s">
        <v>306</v>
      </c>
    </row>
    <row r="5" spans="1:7">
      <c r="A5">
        <v>1</v>
      </c>
      <c r="B5" t="s">
        <v>11</v>
      </c>
      <c r="C5" s="8">
        <v>8.8000000000000007</v>
      </c>
      <c r="D5">
        <f t="shared" ref="D5:D39" si="0">C5*$C$1</f>
        <v>440.00000000000006</v>
      </c>
    </row>
    <row r="6" spans="1:7">
      <c r="A6">
        <f t="shared" ref="A6:A39" si="1">+A5+1</f>
        <v>2</v>
      </c>
      <c r="B6" t="s">
        <v>13</v>
      </c>
      <c r="C6" s="8">
        <v>7.3</v>
      </c>
      <c r="D6">
        <f t="shared" si="0"/>
        <v>365</v>
      </c>
    </row>
    <row r="7" spans="1:7">
      <c r="A7">
        <f t="shared" si="1"/>
        <v>3</v>
      </c>
      <c r="B7" t="s">
        <v>14</v>
      </c>
      <c r="C7" s="8">
        <v>5.6</v>
      </c>
      <c r="D7">
        <f t="shared" si="0"/>
        <v>280</v>
      </c>
    </row>
    <row r="8" spans="1:7">
      <c r="A8">
        <f t="shared" si="1"/>
        <v>4</v>
      </c>
      <c r="B8" t="s">
        <v>17</v>
      </c>
      <c r="C8" s="8">
        <v>1.3</v>
      </c>
      <c r="D8">
        <f t="shared" si="0"/>
        <v>65</v>
      </c>
    </row>
    <row r="9" spans="1:7">
      <c r="A9">
        <f t="shared" si="1"/>
        <v>5</v>
      </c>
      <c r="B9" t="s">
        <v>18</v>
      </c>
      <c r="C9" s="8">
        <v>6.4</v>
      </c>
      <c r="D9">
        <f t="shared" si="0"/>
        <v>320</v>
      </c>
    </row>
    <row r="10" spans="1:7">
      <c r="A10">
        <f t="shared" si="1"/>
        <v>6</v>
      </c>
      <c r="B10" t="s">
        <v>19</v>
      </c>
      <c r="C10" s="8">
        <v>7</v>
      </c>
      <c r="D10">
        <f t="shared" si="0"/>
        <v>350</v>
      </c>
    </row>
    <row r="11" spans="1:7">
      <c r="A11">
        <f t="shared" si="1"/>
        <v>7</v>
      </c>
      <c r="B11" t="s">
        <v>20</v>
      </c>
      <c r="C11" s="8">
        <v>5.6</v>
      </c>
      <c r="D11">
        <f t="shared" si="0"/>
        <v>280</v>
      </c>
    </row>
    <row r="12" spans="1:7">
      <c r="A12">
        <f t="shared" si="1"/>
        <v>8</v>
      </c>
      <c r="B12" t="s">
        <v>21</v>
      </c>
      <c r="C12" s="8">
        <v>5.0999999999999996</v>
      </c>
      <c r="D12">
        <f t="shared" si="0"/>
        <v>254.99999999999997</v>
      </c>
    </row>
    <row r="13" spans="1:7">
      <c r="A13">
        <f t="shared" si="1"/>
        <v>9</v>
      </c>
      <c r="B13" t="s">
        <v>22</v>
      </c>
      <c r="C13" s="8">
        <v>4.0999999999999996</v>
      </c>
      <c r="D13">
        <f t="shared" si="0"/>
        <v>204.99999999999997</v>
      </c>
    </row>
    <row r="14" spans="1:7">
      <c r="A14">
        <f t="shared" si="1"/>
        <v>10</v>
      </c>
      <c r="B14" t="s">
        <v>23</v>
      </c>
      <c r="C14" s="8">
        <v>0.5</v>
      </c>
      <c r="D14">
        <f t="shared" si="0"/>
        <v>25</v>
      </c>
    </row>
    <row r="15" spans="1:7">
      <c r="A15">
        <f t="shared" si="1"/>
        <v>11</v>
      </c>
      <c r="B15" t="s">
        <v>25</v>
      </c>
      <c r="C15" s="8">
        <v>3.5</v>
      </c>
      <c r="D15">
        <f t="shared" si="0"/>
        <v>175</v>
      </c>
    </row>
    <row r="16" spans="1:7">
      <c r="A16">
        <f t="shared" si="1"/>
        <v>12</v>
      </c>
      <c r="B16" t="s">
        <v>27</v>
      </c>
      <c r="C16" s="8">
        <v>5.2</v>
      </c>
      <c r="D16">
        <f t="shared" si="0"/>
        <v>260</v>
      </c>
    </row>
    <row r="17" spans="1:4">
      <c r="A17">
        <f t="shared" si="1"/>
        <v>13</v>
      </c>
      <c r="B17" t="s">
        <v>28</v>
      </c>
      <c r="C17" s="8">
        <v>4.5</v>
      </c>
      <c r="D17">
        <f t="shared" si="0"/>
        <v>225</v>
      </c>
    </row>
    <row r="18" spans="1:4">
      <c r="A18">
        <f t="shared" si="1"/>
        <v>14</v>
      </c>
      <c r="B18" t="s">
        <v>29</v>
      </c>
      <c r="C18" s="8">
        <v>7.1</v>
      </c>
      <c r="D18">
        <f t="shared" si="0"/>
        <v>355</v>
      </c>
    </row>
    <row r="19" spans="1:4">
      <c r="A19">
        <f t="shared" si="1"/>
        <v>15</v>
      </c>
      <c r="B19" t="s">
        <v>61</v>
      </c>
      <c r="C19" s="8">
        <v>1.6</v>
      </c>
      <c r="D19">
        <f t="shared" si="0"/>
        <v>80</v>
      </c>
    </row>
    <row r="20" spans="1:4">
      <c r="A20">
        <f t="shared" si="1"/>
        <v>16</v>
      </c>
      <c r="B20" t="s">
        <v>31</v>
      </c>
      <c r="C20" s="8">
        <v>4</v>
      </c>
      <c r="D20">
        <f t="shared" si="0"/>
        <v>200</v>
      </c>
    </row>
    <row r="21" spans="1:4">
      <c r="A21">
        <f t="shared" si="1"/>
        <v>17</v>
      </c>
      <c r="B21" t="s">
        <v>33</v>
      </c>
      <c r="C21" s="8">
        <v>0.8</v>
      </c>
      <c r="D21">
        <f t="shared" si="0"/>
        <v>40</v>
      </c>
    </row>
    <row r="22" spans="1:4">
      <c r="A22">
        <f t="shared" si="1"/>
        <v>18</v>
      </c>
      <c r="B22" t="s">
        <v>34</v>
      </c>
      <c r="C22" s="8">
        <v>0.8</v>
      </c>
      <c r="D22">
        <f t="shared" si="0"/>
        <v>40</v>
      </c>
    </row>
    <row r="23" spans="1:4">
      <c r="A23">
        <f t="shared" si="1"/>
        <v>19</v>
      </c>
      <c r="B23" t="s">
        <v>35</v>
      </c>
      <c r="C23" s="8">
        <v>1.2</v>
      </c>
      <c r="D23">
        <f t="shared" si="0"/>
        <v>60</v>
      </c>
    </row>
    <row r="24" spans="1:4">
      <c r="A24">
        <f t="shared" si="1"/>
        <v>20</v>
      </c>
      <c r="B24" t="s">
        <v>36</v>
      </c>
      <c r="C24" s="8">
        <v>3.5</v>
      </c>
      <c r="D24">
        <f t="shared" si="0"/>
        <v>175</v>
      </c>
    </row>
    <row r="25" spans="1:4">
      <c r="A25">
        <f t="shared" si="1"/>
        <v>21</v>
      </c>
      <c r="B25" t="s">
        <v>37</v>
      </c>
      <c r="C25" s="8">
        <v>0.2</v>
      </c>
      <c r="D25">
        <f t="shared" si="0"/>
        <v>10</v>
      </c>
    </row>
    <row r="26" spans="1:4">
      <c r="A26">
        <f t="shared" si="1"/>
        <v>22</v>
      </c>
      <c r="B26" t="s">
        <v>38</v>
      </c>
      <c r="C26" s="8">
        <v>3.2</v>
      </c>
      <c r="D26">
        <f t="shared" si="0"/>
        <v>160</v>
      </c>
    </row>
    <row r="27" spans="1:4">
      <c r="A27">
        <f t="shared" si="1"/>
        <v>23</v>
      </c>
      <c r="B27" t="s">
        <v>39</v>
      </c>
      <c r="C27" s="8">
        <v>5.4</v>
      </c>
      <c r="D27">
        <f t="shared" si="0"/>
        <v>270</v>
      </c>
    </row>
    <row r="28" spans="1:4">
      <c r="A28">
        <f t="shared" si="1"/>
        <v>24</v>
      </c>
      <c r="B28" t="s">
        <v>52</v>
      </c>
      <c r="C28" s="8">
        <v>6.1</v>
      </c>
      <c r="D28">
        <f t="shared" si="0"/>
        <v>305</v>
      </c>
    </row>
    <row r="29" spans="1:4">
      <c r="A29">
        <f t="shared" si="1"/>
        <v>25</v>
      </c>
      <c r="B29" t="s">
        <v>40</v>
      </c>
      <c r="C29" s="8">
        <v>4</v>
      </c>
      <c r="D29">
        <f t="shared" si="0"/>
        <v>200</v>
      </c>
    </row>
    <row r="30" spans="1:4">
      <c r="A30">
        <f t="shared" si="1"/>
        <v>26</v>
      </c>
      <c r="B30" t="s">
        <v>41</v>
      </c>
      <c r="C30" s="8">
        <v>6.5</v>
      </c>
      <c r="D30">
        <f t="shared" si="0"/>
        <v>325</v>
      </c>
    </row>
    <row r="31" spans="1:4">
      <c r="A31">
        <f t="shared" si="1"/>
        <v>27</v>
      </c>
      <c r="B31" t="s">
        <v>53</v>
      </c>
      <c r="C31" s="8">
        <v>5.6</v>
      </c>
      <c r="D31">
        <f t="shared" si="0"/>
        <v>280</v>
      </c>
    </row>
    <row r="32" spans="1:4">
      <c r="A32">
        <f t="shared" si="1"/>
        <v>28</v>
      </c>
      <c r="B32" t="s">
        <v>42</v>
      </c>
      <c r="C32" s="8">
        <v>6</v>
      </c>
      <c r="D32">
        <f t="shared" si="0"/>
        <v>300</v>
      </c>
    </row>
    <row r="33" spans="1:4">
      <c r="A33">
        <f t="shared" si="1"/>
        <v>29</v>
      </c>
      <c r="B33" t="s">
        <v>43</v>
      </c>
      <c r="C33" s="8">
        <v>4.2</v>
      </c>
      <c r="D33">
        <f t="shared" si="0"/>
        <v>210</v>
      </c>
    </row>
    <row r="34" spans="1:4">
      <c r="A34">
        <f t="shared" si="1"/>
        <v>30</v>
      </c>
      <c r="B34" t="s">
        <v>44</v>
      </c>
      <c r="C34" s="8">
        <v>3.4</v>
      </c>
      <c r="D34">
        <f t="shared" si="0"/>
        <v>170</v>
      </c>
    </row>
    <row r="35" spans="1:4">
      <c r="A35">
        <f t="shared" si="1"/>
        <v>31</v>
      </c>
      <c r="B35" t="s">
        <v>46</v>
      </c>
      <c r="C35" s="8">
        <v>4.8</v>
      </c>
      <c r="D35">
        <f t="shared" si="0"/>
        <v>240</v>
      </c>
    </row>
    <row r="36" spans="1:4">
      <c r="A36">
        <f t="shared" si="1"/>
        <v>32</v>
      </c>
      <c r="B36" t="s">
        <v>47</v>
      </c>
      <c r="C36" s="8">
        <v>6.5</v>
      </c>
      <c r="D36">
        <f t="shared" si="0"/>
        <v>325</v>
      </c>
    </row>
    <row r="37" spans="1:4">
      <c r="A37">
        <f t="shared" si="1"/>
        <v>33</v>
      </c>
      <c r="B37" t="s">
        <v>62</v>
      </c>
      <c r="C37" s="8">
        <v>7.9</v>
      </c>
      <c r="D37">
        <f t="shared" si="0"/>
        <v>395</v>
      </c>
    </row>
    <row r="38" spans="1:4">
      <c r="A38">
        <f t="shared" si="1"/>
        <v>34</v>
      </c>
      <c r="B38" t="s">
        <v>48</v>
      </c>
      <c r="C38" s="8">
        <v>2.2000000000000002</v>
      </c>
      <c r="D38">
        <f t="shared" si="0"/>
        <v>110.00000000000001</v>
      </c>
    </row>
    <row r="39" spans="1:4">
      <c r="A39">
        <f t="shared" si="1"/>
        <v>35</v>
      </c>
      <c r="B39" t="s">
        <v>49</v>
      </c>
      <c r="C39" s="8">
        <v>2.4</v>
      </c>
      <c r="D39">
        <f t="shared" si="0"/>
        <v>120</v>
      </c>
    </row>
    <row r="41" spans="1:4">
      <c r="A41" s="131">
        <f>OBJ!C2</f>
        <v>5</v>
      </c>
      <c r="B41" s="131" t="str">
        <f>OBJ!B2</f>
        <v>East Village</v>
      </c>
      <c r="C41" s="132">
        <f>VLOOKUP($B41,$B$5:$D$39,COLUMN(B40),FALSE)</f>
        <v>6.4</v>
      </c>
      <c r="D41" s="132">
        <f>VLOOKUP($B41,$B$5:$D$39,COLUMN(C40),FALSE)</f>
        <v>320</v>
      </c>
    </row>
    <row r="42" spans="1:4">
      <c r="A42" s="131">
        <f>OBJ!C3</f>
        <v>33</v>
      </c>
      <c r="B42" s="131" t="str">
        <f>OBJ!B3</f>
        <v>Upper West Side</v>
      </c>
      <c r="C42" s="132">
        <f t="shared" ref="C42:D43" si="2">VLOOKUP($B42,$B$5:$D$39,COLUMN(B41),FALSE)</f>
        <v>7.9</v>
      </c>
      <c r="D42" s="132">
        <f t="shared" si="2"/>
        <v>395</v>
      </c>
    </row>
    <row r="43" spans="1:4">
      <c r="A43" s="131">
        <f>OBJ!C4</f>
        <v>18</v>
      </c>
      <c r="B43" s="131" t="str">
        <f>OBJ!B4</f>
        <v>Midtown East</v>
      </c>
      <c r="C43" s="132">
        <f t="shared" si="2"/>
        <v>0.8</v>
      </c>
      <c r="D43" s="132">
        <f t="shared" si="2"/>
        <v>40</v>
      </c>
    </row>
  </sheetData>
  <phoneticPr fontId="0" type="noConversion"/>
  <hyperlinks>
    <hyperlink ref="G3" r:id="rId1"/>
  </hyperlinks>
  <pageMargins left="0.7" right="0.7" top="0.75" bottom="0.75" header="0.3" footer="0.3"/>
  <pageSetup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D3" sqref="D3"/>
    </sheetView>
  </sheetViews>
  <sheetFormatPr defaultRowHeight="15"/>
  <cols>
    <col min="1" max="1" width="3" bestFit="1" customWidth="1"/>
    <col min="2" max="2" width="27.42578125" bestFit="1" customWidth="1"/>
    <col min="4" max="4" width="12" bestFit="1" customWidth="1"/>
  </cols>
  <sheetData>
    <row r="1" spans="1:7">
      <c r="B1" t="s">
        <v>295</v>
      </c>
      <c r="C1" s="7">
        <f>Inputs!B13</f>
        <v>20</v>
      </c>
    </row>
    <row r="3" spans="1:7" ht="30">
      <c r="B3" s="16" t="s">
        <v>301</v>
      </c>
      <c r="C3" t="s">
        <v>300</v>
      </c>
      <c r="D3" s="12" t="s">
        <v>263</v>
      </c>
    </row>
    <row r="4" spans="1:7">
      <c r="B4" s="16"/>
      <c r="C4" t="s">
        <v>297</v>
      </c>
      <c r="D4" t="s">
        <v>298</v>
      </c>
    </row>
    <row r="5" spans="1:7">
      <c r="A5">
        <v>1</v>
      </c>
      <c r="B5" t="s">
        <v>11</v>
      </c>
      <c r="C5" s="8">
        <v>0</v>
      </c>
      <c r="D5">
        <f t="shared" ref="D5:D39" si="0">C5*$C$1</f>
        <v>0</v>
      </c>
      <c r="G5" s="18" t="s">
        <v>110</v>
      </c>
    </row>
    <row r="6" spans="1:7">
      <c r="A6">
        <f t="shared" ref="A6:A39" si="1">+A5+1</f>
        <v>2</v>
      </c>
      <c r="B6" t="s">
        <v>13</v>
      </c>
      <c r="C6" s="8">
        <v>0</v>
      </c>
      <c r="D6">
        <f t="shared" si="0"/>
        <v>0</v>
      </c>
      <c r="G6" t="s">
        <v>307</v>
      </c>
    </row>
    <row r="7" spans="1:7">
      <c r="A7">
        <f t="shared" si="1"/>
        <v>3</v>
      </c>
      <c r="B7" t="s">
        <v>14</v>
      </c>
      <c r="C7" s="8">
        <v>0</v>
      </c>
      <c r="D7">
        <f t="shared" si="0"/>
        <v>0</v>
      </c>
    </row>
    <row r="8" spans="1:7">
      <c r="A8">
        <f t="shared" si="1"/>
        <v>4</v>
      </c>
      <c r="B8" t="s">
        <v>17</v>
      </c>
      <c r="C8" s="8">
        <v>0</v>
      </c>
      <c r="D8">
        <f t="shared" si="0"/>
        <v>0</v>
      </c>
    </row>
    <row r="9" spans="1:7">
      <c r="A9">
        <f t="shared" si="1"/>
        <v>5</v>
      </c>
      <c r="B9" t="s">
        <v>18</v>
      </c>
      <c r="C9" s="8">
        <v>2</v>
      </c>
      <c r="D9">
        <f t="shared" si="0"/>
        <v>40</v>
      </c>
    </row>
    <row r="10" spans="1:7">
      <c r="A10">
        <f t="shared" si="1"/>
        <v>6</v>
      </c>
      <c r="B10" t="s">
        <v>19</v>
      </c>
      <c r="C10" s="8">
        <v>2</v>
      </c>
      <c r="D10">
        <f t="shared" si="0"/>
        <v>40</v>
      </c>
    </row>
    <row r="11" spans="1:7">
      <c r="A11">
        <f t="shared" si="1"/>
        <v>7</v>
      </c>
      <c r="B11" t="s">
        <v>20</v>
      </c>
      <c r="C11" s="8">
        <v>0</v>
      </c>
      <c r="D11">
        <f t="shared" si="0"/>
        <v>0</v>
      </c>
    </row>
    <row r="12" spans="1:7">
      <c r="A12">
        <f t="shared" si="1"/>
        <v>8</v>
      </c>
      <c r="B12" t="s">
        <v>21</v>
      </c>
      <c r="C12" s="8">
        <v>0</v>
      </c>
      <c r="D12">
        <f t="shared" si="0"/>
        <v>0</v>
      </c>
    </row>
    <row r="13" spans="1:7">
      <c r="A13">
        <f t="shared" si="1"/>
        <v>9</v>
      </c>
      <c r="B13" t="s">
        <v>22</v>
      </c>
      <c r="C13" s="8">
        <v>0</v>
      </c>
      <c r="D13">
        <f t="shared" si="0"/>
        <v>0</v>
      </c>
    </row>
    <row r="14" spans="1:7">
      <c r="A14">
        <f t="shared" si="1"/>
        <v>10</v>
      </c>
      <c r="B14" t="s">
        <v>23</v>
      </c>
      <c r="C14" s="8">
        <v>0</v>
      </c>
      <c r="D14">
        <f t="shared" si="0"/>
        <v>0</v>
      </c>
    </row>
    <row r="15" spans="1:7">
      <c r="A15">
        <f t="shared" si="1"/>
        <v>11</v>
      </c>
      <c r="B15" t="s">
        <v>25</v>
      </c>
      <c r="C15" s="8">
        <v>2</v>
      </c>
      <c r="D15">
        <f t="shared" si="0"/>
        <v>40</v>
      </c>
    </row>
    <row r="16" spans="1:7">
      <c r="A16">
        <f t="shared" si="1"/>
        <v>12</v>
      </c>
      <c r="B16" t="s">
        <v>27</v>
      </c>
      <c r="C16" s="8">
        <v>0</v>
      </c>
      <c r="D16">
        <f t="shared" si="0"/>
        <v>0</v>
      </c>
    </row>
    <row r="17" spans="1:4">
      <c r="A17">
        <f t="shared" si="1"/>
        <v>13</v>
      </c>
      <c r="B17" t="s">
        <v>28</v>
      </c>
      <c r="C17" s="8">
        <v>0</v>
      </c>
      <c r="D17">
        <f t="shared" si="0"/>
        <v>0</v>
      </c>
    </row>
    <row r="18" spans="1:4">
      <c r="A18">
        <f t="shared" si="1"/>
        <v>14</v>
      </c>
      <c r="B18" t="s">
        <v>29</v>
      </c>
      <c r="C18" s="8">
        <v>0</v>
      </c>
      <c r="D18">
        <f t="shared" si="0"/>
        <v>0</v>
      </c>
    </row>
    <row r="19" spans="1:4">
      <c r="A19">
        <f t="shared" si="1"/>
        <v>15</v>
      </c>
      <c r="B19" t="s">
        <v>61</v>
      </c>
      <c r="C19" s="8">
        <v>0</v>
      </c>
      <c r="D19">
        <f t="shared" si="0"/>
        <v>0</v>
      </c>
    </row>
    <row r="20" spans="1:4">
      <c r="A20">
        <f t="shared" si="1"/>
        <v>16</v>
      </c>
      <c r="B20" t="s">
        <v>31</v>
      </c>
      <c r="C20" s="8">
        <v>2</v>
      </c>
      <c r="D20">
        <f t="shared" si="0"/>
        <v>40</v>
      </c>
    </row>
    <row r="21" spans="1:4">
      <c r="A21">
        <f t="shared" si="1"/>
        <v>17</v>
      </c>
      <c r="B21" t="s">
        <v>33</v>
      </c>
      <c r="C21" s="8">
        <v>0</v>
      </c>
      <c r="D21">
        <f t="shared" si="0"/>
        <v>0</v>
      </c>
    </row>
    <row r="22" spans="1:4">
      <c r="A22">
        <f t="shared" si="1"/>
        <v>18</v>
      </c>
      <c r="B22" t="s">
        <v>34</v>
      </c>
      <c r="C22" s="8">
        <v>5</v>
      </c>
      <c r="D22">
        <f t="shared" si="0"/>
        <v>100</v>
      </c>
    </row>
    <row r="23" spans="1:4">
      <c r="A23">
        <f t="shared" si="1"/>
        <v>19</v>
      </c>
      <c r="B23" t="s">
        <v>35</v>
      </c>
      <c r="C23" s="8">
        <v>2</v>
      </c>
      <c r="D23">
        <f t="shared" si="0"/>
        <v>40</v>
      </c>
    </row>
    <row r="24" spans="1:4">
      <c r="A24">
        <f t="shared" si="1"/>
        <v>20</v>
      </c>
      <c r="B24" t="s">
        <v>36</v>
      </c>
      <c r="C24" s="8">
        <v>0</v>
      </c>
      <c r="D24">
        <f t="shared" si="0"/>
        <v>0</v>
      </c>
    </row>
    <row r="25" spans="1:4">
      <c r="A25">
        <f t="shared" si="1"/>
        <v>21</v>
      </c>
      <c r="B25" t="s">
        <v>37</v>
      </c>
      <c r="C25" s="8">
        <v>7</v>
      </c>
      <c r="D25">
        <f t="shared" si="0"/>
        <v>140</v>
      </c>
    </row>
    <row r="26" spans="1:4">
      <c r="A26">
        <f t="shared" si="1"/>
        <v>22</v>
      </c>
      <c r="B26" t="s">
        <v>38</v>
      </c>
      <c r="C26" s="8">
        <v>3</v>
      </c>
      <c r="D26">
        <f t="shared" si="0"/>
        <v>60</v>
      </c>
    </row>
    <row r="27" spans="1:4">
      <c r="A27">
        <f t="shared" si="1"/>
        <v>23</v>
      </c>
      <c r="B27" t="s">
        <v>39</v>
      </c>
      <c r="C27" s="8">
        <v>2</v>
      </c>
      <c r="D27">
        <f t="shared" si="0"/>
        <v>40</v>
      </c>
    </row>
    <row r="28" spans="1:4">
      <c r="A28">
        <f t="shared" si="1"/>
        <v>24</v>
      </c>
      <c r="B28" t="s">
        <v>52</v>
      </c>
      <c r="C28" s="8">
        <v>0</v>
      </c>
      <c r="D28">
        <f t="shared" si="0"/>
        <v>0</v>
      </c>
    </row>
    <row r="29" spans="1:4">
      <c r="A29">
        <f t="shared" si="1"/>
        <v>25</v>
      </c>
      <c r="B29" t="s">
        <v>40</v>
      </c>
      <c r="C29" s="8">
        <v>0</v>
      </c>
      <c r="D29">
        <f t="shared" si="0"/>
        <v>0</v>
      </c>
    </row>
    <row r="30" spans="1:4">
      <c r="A30">
        <f t="shared" si="1"/>
        <v>26</v>
      </c>
      <c r="B30" t="s">
        <v>41</v>
      </c>
      <c r="C30" s="8">
        <v>0</v>
      </c>
      <c r="D30">
        <f t="shared" si="0"/>
        <v>0</v>
      </c>
    </row>
    <row r="31" spans="1:4">
      <c r="A31">
        <f t="shared" si="1"/>
        <v>27</v>
      </c>
      <c r="B31" t="s">
        <v>53</v>
      </c>
      <c r="C31" s="8">
        <v>2</v>
      </c>
      <c r="D31">
        <f t="shared" si="0"/>
        <v>40</v>
      </c>
    </row>
    <row r="32" spans="1:4">
      <c r="A32">
        <f t="shared" si="1"/>
        <v>28</v>
      </c>
      <c r="B32" t="s">
        <v>42</v>
      </c>
      <c r="C32" s="8">
        <v>3</v>
      </c>
      <c r="D32">
        <f t="shared" si="0"/>
        <v>60</v>
      </c>
    </row>
    <row r="33" spans="1:4">
      <c r="A33">
        <f t="shared" si="1"/>
        <v>29</v>
      </c>
      <c r="B33" t="s">
        <v>43</v>
      </c>
      <c r="C33" s="8">
        <v>2</v>
      </c>
      <c r="D33">
        <f t="shared" si="0"/>
        <v>40</v>
      </c>
    </row>
    <row r="34" spans="1:4">
      <c r="A34">
        <f t="shared" si="1"/>
        <v>30</v>
      </c>
      <c r="B34" t="s">
        <v>44</v>
      </c>
      <c r="C34" s="8">
        <v>0</v>
      </c>
      <c r="D34">
        <f t="shared" si="0"/>
        <v>0</v>
      </c>
    </row>
    <row r="35" spans="1:4">
      <c r="A35">
        <f t="shared" si="1"/>
        <v>31</v>
      </c>
      <c r="B35" t="s">
        <v>46</v>
      </c>
      <c r="C35" s="8">
        <v>0</v>
      </c>
      <c r="D35">
        <f t="shared" si="0"/>
        <v>0</v>
      </c>
    </row>
    <row r="36" spans="1:4">
      <c r="A36">
        <f t="shared" si="1"/>
        <v>32</v>
      </c>
      <c r="B36" t="s">
        <v>47</v>
      </c>
      <c r="C36" s="8">
        <v>7</v>
      </c>
      <c r="D36">
        <f t="shared" si="0"/>
        <v>140</v>
      </c>
    </row>
    <row r="37" spans="1:4">
      <c r="A37">
        <f t="shared" si="1"/>
        <v>33</v>
      </c>
      <c r="B37" t="s">
        <v>62</v>
      </c>
      <c r="C37" s="8">
        <v>5</v>
      </c>
      <c r="D37">
        <f t="shared" si="0"/>
        <v>100</v>
      </c>
    </row>
    <row r="38" spans="1:4">
      <c r="A38">
        <f t="shared" si="1"/>
        <v>34</v>
      </c>
      <c r="B38" t="s">
        <v>48</v>
      </c>
      <c r="C38" s="8">
        <v>0</v>
      </c>
      <c r="D38">
        <f t="shared" si="0"/>
        <v>0</v>
      </c>
    </row>
    <row r="39" spans="1:4">
      <c r="A39">
        <f t="shared" si="1"/>
        <v>35</v>
      </c>
      <c r="B39" t="s">
        <v>49</v>
      </c>
      <c r="C39" s="8">
        <v>0</v>
      </c>
      <c r="D39">
        <f t="shared" si="0"/>
        <v>0</v>
      </c>
    </row>
    <row r="41" spans="1:4">
      <c r="A41" s="131">
        <f>OBJ!C2</f>
        <v>5</v>
      </c>
      <c r="B41" s="131" t="str">
        <f>OBJ!B2</f>
        <v>East Village</v>
      </c>
      <c r="C41" s="132">
        <f>VLOOKUP($B41,$B$5:$D$39,COLUMN(B40),FALSE)</f>
        <v>2</v>
      </c>
      <c r="D41" s="132">
        <f>VLOOKUP($B41,$B$5:$D$39,COLUMN(C40),FALSE)</f>
        <v>40</v>
      </c>
    </row>
    <row r="42" spans="1:4">
      <c r="A42" s="131">
        <f>OBJ!C3</f>
        <v>33</v>
      </c>
      <c r="B42" s="131" t="str">
        <f>OBJ!B3</f>
        <v>Upper West Side</v>
      </c>
      <c r="C42" s="132">
        <f t="shared" ref="C42:D43" si="2">VLOOKUP($B42,$B$5:$D$39,COLUMN(B41),FALSE)</f>
        <v>5</v>
      </c>
      <c r="D42" s="132">
        <f t="shared" si="2"/>
        <v>100</v>
      </c>
    </row>
    <row r="43" spans="1:4">
      <c r="A43" s="131">
        <f>OBJ!C4</f>
        <v>18</v>
      </c>
      <c r="B43" s="131" t="str">
        <f>OBJ!B4</f>
        <v>Midtown East</v>
      </c>
      <c r="C43" s="132">
        <f t="shared" si="2"/>
        <v>5</v>
      </c>
      <c r="D43" s="132">
        <f t="shared" si="2"/>
        <v>100</v>
      </c>
    </row>
  </sheetData>
  <phoneticPr fontId="0" type="noConversion"/>
  <pageMargins left="0.7" right="0.7" top="0.75" bottom="0.75" header="0.3" footer="0.3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G43"/>
  <sheetViews>
    <sheetView workbookViewId="0">
      <selection activeCell="D3" sqref="D3"/>
    </sheetView>
  </sheetViews>
  <sheetFormatPr defaultRowHeight="15"/>
  <cols>
    <col min="1" max="1" width="3" bestFit="1" customWidth="1"/>
    <col min="2" max="2" width="27.42578125" bestFit="1" customWidth="1"/>
    <col min="4" max="4" width="12" bestFit="1" customWidth="1"/>
    <col min="5" max="5" width="12" customWidth="1"/>
    <col min="6" max="6" width="9.140625" customWidth="1"/>
  </cols>
  <sheetData>
    <row r="1" spans="1:7">
      <c r="B1" t="s">
        <v>295</v>
      </c>
      <c r="C1" s="7">
        <f>Inputs!B14</f>
        <v>37</v>
      </c>
      <c r="D1" s="27" t="s">
        <v>296</v>
      </c>
    </row>
    <row r="3" spans="1:7" ht="30">
      <c r="B3" s="16" t="s">
        <v>299</v>
      </c>
      <c r="C3" t="s">
        <v>300</v>
      </c>
      <c r="D3" s="12" t="s">
        <v>263</v>
      </c>
    </row>
    <row r="4" spans="1:7">
      <c r="B4" s="16"/>
      <c r="C4" t="s">
        <v>297</v>
      </c>
      <c r="D4" t="s">
        <v>298</v>
      </c>
    </row>
    <row r="5" spans="1:7">
      <c r="A5">
        <v>1</v>
      </c>
      <c r="B5" t="s">
        <v>11</v>
      </c>
      <c r="C5">
        <v>2</v>
      </c>
      <c r="D5">
        <f t="shared" ref="D5:D39" si="0">C5*$C$1</f>
        <v>74</v>
      </c>
      <c r="G5" s="18" t="s">
        <v>304</v>
      </c>
    </row>
    <row r="6" spans="1:7">
      <c r="A6">
        <f t="shared" ref="A6:A39" si="1">+A5+1</f>
        <v>2</v>
      </c>
      <c r="B6" t="s">
        <v>13</v>
      </c>
      <c r="C6">
        <v>4</v>
      </c>
      <c r="D6">
        <f t="shared" si="0"/>
        <v>148</v>
      </c>
      <c r="G6" s="19" t="s">
        <v>111</v>
      </c>
    </row>
    <row r="7" spans="1:7">
      <c r="A7">
        <f t="shared" si="1"/>
        <v>3</v>
      </c>
      <c r="B7" t="s">
        <v>14</v>
      </c>
      <c r="C7">
        <v>3</v>
      </c>
      <c r="D7">
        <f t="shared" si="0"/>
        <v>111</v>
      </c>
      <c r="G7" s="19" t="s">
        <v>112</v>
      </c>
    </row>
    <row r="8" spans="1:7">
      <c r="A8">
        <f t="shared" si="1"/>
        <v>4</v>
      </c>
      <c r="B8" t="s">
        <v>17</v>
      </c>
      <c r="C8">
        <v>2</v>
      </c>
      <c r="D8">
        <f t="shared" si="0"/>
        <v>74</v>
      </c>
      <c r="G8" s="19" t="s">
        <v>113</v>
      </c>
    </row>
    <row r="9" spans="1:7">
      <c r="A9">
        <f t="shared" si="1"/>
        <v>5</v>
      </c>
      <c r="B9" t="s">
        <v>18</v>
      </c>
      <c r="C9">
        <v>6</v>
      </c>
      <c r="D9">
        <f t="shared" si="0"/>
        <v>222</v>
      </c>
      <c r="G9" s="19" t="s">
        <v>114</v>
      </c>
    </row>
    <row r="10" spans="1:7">
      <c r="A10">
        <f t="shared" si="1"/>
        <v>6</v>
      </c>
      <c r="B10" t="s">
        <v>19</v>
      </c>
      <c r="C10">
        <v>2</v>
      </c>
      <c r="D10">
        <f t="shared" si="0"/>
        <v>74</v>
      </c>
      <c r="G10" s="19" t="s">
        <v>303</v>
      </c>
    </row>
    <row r="11" spans="1:7">
      <c r="A11">
        <f t="shared" si="1"/>
        <v>7</v>
      </c>
      <c r="B11" t="s">
        <v>20</v>
      </c>
      <c r="C11">
        <v>3</v>
      </c>
      <c r="D11">
        <f t="shared" si="0"/>
        <v>111</v>
      </c>
    </row>
    <row r="12" spans="1:7">
      <c r="A12">
        <f t="shared" si="1"/>
        <v>8</v>
      </c>
      <c r="B12" t="s">
        <v>21</v>
      </c>
      <c r="C12">
        <v>4</v>
      </c>
      <c r="D12">
        <f t="shared" si="0"/>
        <v>148</v>
      </c>
    </row>
    <row r="13" spans="1:7">
      <c r="A13">
        <f t="shared" si="1"/>
        <v>9</v>
      </c>
      <c r="B13" t="s">
        <v>22</v>
      </c>
      <c r="C13">
        <v>4</v>
      </c>
      <c r="D13">
        <f t="shared" si="0"/>
        <v>148</v>
      </c>
    </row>
    <row r="14" spans="1:7">
      <c r="A14">
        <f t="shared" si="1"/>
        <v>10</v>
      </c>
      <c r="B14" t="s">
        <v>23</v>
      </c>
      <c r="C14">
        <v>7</v>
      </c>
      <c r="D14">
        <f t="shared" si="0"/>
        <v>259</v>
      </c>
    </row>
    <row r="15" spans="1:7">
      <c r="A15">
        <f t="shared" si="1"/>
        <v>11</v>
      </c>
      <c r="B15" t="s">
        <v>25</v>
      </c>
      <c r="C15">
        <v>3</v>
      </c>
      <c r="D15">
        <f t="shared" si="0"/>
        <v>111</v>
      </c>
    </row>
    <row r="16" spans="1:7">
      <c r="A16">
        <f t="shared" si="1"/>
        <v>12</v>
      </c>
      <c r="B16" t="s">
        <v>27</v>
      </c>
      <c r="C16">
        <v>1</v>
      </c>
      <c r="D16">
        <f t="shared" si="0"/>
        <v>37</v>
      </c>
    </row>
    <row r="17" spans="1:4">
      <c r="A17">
        <f t="shared" si="1"/>
        <v>13</v>
      </c>
      <c r="B17" t="s">
        <v>28</v>
      </c>
      <c r="C17">
        <v>2</v>
      </c>
      <c r="D17">
        <f t="shared" si="0"/>
        <v>74</v>
      </c>
    </row>
    <row r="18" spans="1:4">
      <c r="A18">
        <f t="shared" si="1"/>
        <v>14</v>
      </c>
      <c r="B18" t="s">
        <v>29</v>
      </c>
      <c r="C18">
        <v>3</v>
      </c>
      <c r="D18">
        <f t="shared" si="0"/>
        <v>111</v>
      </c>
    </row>
    <row r="19" spans="1:4">
      <c r="A19">
        <f t="shared" si="1"/>
        <v>15</v>
      </c>
      <c r="B19" t="s">
        <v>61</v>
      </c>
      <c r="C19">
        <v>4</v>
      </c>
      <c r="D19">
        <f t="shared" si="0"/>
        <v>148</v>
      </c>
    </row>
    <row r="20" spans="1:4">
      <c r="A20">
        <f t="shared" si="1"/>
        <v>16</v>
      </c>
      <c r="B20" t="s">
        <v>31</v>
      </c>
      <c r="C20">
        <v>3</v>
      </c>
      <c r="D20">
        <f t="shared" si="0"/>
        <v>111</v>
      </c>
    </row>
    <row r="21" spans="1:4">
      <c r="A21">
        <f t="shared" si="1"/>
        <v>17</v>
      </c>
      <c r="B21" t="s">
        <v>33</v>
      </c>
      <c r="C21">
        <v>8</v>
      </c>
      <c r="D21">
        <f t="shared" si="0"/>
        <v>296</v>
      </c>
    </row>
    <row r="22" spans="1:4">
      <c r="A22">
        <f t="shared" si="1"/>
        <v>18</v>
      </c>
      <c r="B22" t="s">
        <v>34</v>
      </c>
      <c r="C22">
        <v>5</v>
      </c>
      <c r="D22">
        <f t="shared" si="0"/>
        <v>185</v>
      </c>
    </row>
    <row r="23" spans="1:4">
      <c r="A23">
        <f t="shared" si="1"/>
        <v>19</v>
      </c>
      <c r="B23" t="s">
        <v>35</v>
      </c>
      <c r="C23">
        <v>5</v>
      </c>
      <c r="D23">
        <f t="shared" si="0"/>
        <v>185</v>
      </c>
    </row>
    <row r="24" spans="1:4">
      <c r="A24">
        <f t="shared" si="1"/>
        <v>20</v>
      </c>
      <c r="B24" t="s">
        <v>36</v>
      </c>
      <c r="C24">
        <v>9</v>
      </c>
      <c r="D24">
        <f t="shared" si="0"/>
        <v>333</v>
      </c>
    </row>
    <row r="25" spans="1:4">
      <c r="A25">
        <f t="shared" si="1"/>
        <v>21</v>
      </c>
      <c r="B25" t="s">
        <v>37</v>
      </c>
      <c r="C25">
        <v>8</v>
      </c>
      <c r="D25">
        <f t="shared" si="0"/>
        <v>296</v>
      </c>
    </row>
    <row r="26" spans="1:4">
      <c r="A26">
        <f t="shared" si="1"/>
        <v>22</v>
      </c>
      <c r="B26" t="s">
        <v>38</v>
      </c>
      <c r="C26">
        <v>4</v>
      </c>
      <c r="D26">
        <f t="shared" si="0"/>
        <v>148</v>
      </c>
    </row>
    <row r="27" spans="1:4">
      <c r="A27">
        <f t="shared" si="1"/>
        <v>23</v>
      </c>
      <c r="B27" t="s">
        <v>39</v>
      </c>
      <c r="C27">
        <v>4</v>
      </c>
      <c r="D27">
        <f t="shared" si="0"/>
        <v>148</v>
      </c>
    </row>
    <row r="28" spans="1:4">
      <c r="A28">
        <f t="shared" si="1"/>
        <v>24</v>
      </c>
      <c r="B28" t="s">
        <v>52</v>
      </c>
      <c r="C28">
        <v>2</v>
      </c>
      <c r="D28">
        <f t="shared" si="0"/>
        <v>74</v>
      </c>
    </row>
    <row r="29" spans="1:4">
      <c r="A29">
        <f t="shared" si="1"/>
        <v>25</v>
      </c>
      <c r="B29" t="s">
        <v>40</v>
      </c>
      <c r="C29">
        <v>1</v>
      </c>
      <c r="D29">
        <f t="shared" si="0"/>
        <v>37</v>
      </c>
    </row>
    <row r="30" spans="1:4">
      <c r="A30">
        <f t="shared" si="1"/>
        <v>26</v>
      </c>
      <c r="B30" t="s">
        <v>41</v>
      </c>
      <c r="C30">
        <v>6</v>
      </c>
      <c r="D30">
        <f t="shared" si="0"/>
        <v>222</v>
      </c>
    </row>
    <row r="31" spans="1:4">
      <c r="A31">
        <f t="shared" si="1"/>
        <v>27</v>
      </c>
      <c r="B31" t="s">
        <v>53</v>
      </c>
      <c r="C31">
        <v>2</v>
      </c>
      <c r="D31">
        <f t="shared" si="0"/>
        <v>74</v>
      </c>
    </row>
    <row r="32" spans="1:4">
      <c r="A32">
        <f t="shared" si="1"/>
        <v>28</v>
      </c>
      <c r="B32" t="s">
        <v>42</v>
      </c>
      <c r="C32">
        <v>2</v>
      </c>
      <c r="D32">
        <f t="shared" si="0"/>
        <v>74</v>
      </c>
    </row>
    <row r="33" spans="1:4">
      <c r="A33">
        <f t="shared" si="1"/>
        <v>29</v>
      </c>
      <c r="B33" t="s">
        <v>43</v>
      </c>
      <c r="C33">
        <v>7</v>
      </c>
      <c r="D33">
        <f t="shared" si="0"/>
        <v>259</v>
      </c>
    </row>
    <row r="34" spans="1:4">
      <c r="A34">
        <f t="shared" si="1"/>
        <v>30</v>
      </c>
      <c r="B34" t="s">
        <v>44</v>
      </c>
      <c r="C34">
        <v>3</v>
      </c>
      <c r="D34">
        <f t="shared" si="0"/>
        <v>111</v>
      </c>
    </row>
    <row r="35" spans="1:4">
      <c r="A35">
        <f t="shared" si="1"/>
        <v>31</v>
      </c>
      <c r="B35" t="s">
        <v>46</v>
      </c>
      <c r="C35">
        <v>4</v>
      </c>
      <c r="D35">
        <f t="shared" si="0"/>
        <v>148</v>
      </c>
    </row>
    <row r="36" spans="1:4">
      <c r="A36">
        <f t="shared" si="1"/>
        <v>32</v>
      </c>
      <c r="B36" t="s">
        <v>47</v>
      </c>
      <c r="C36">
        <v>5</v>
      </c>
      <c r="D36">
        <f t="shared" si="0"/>
        <v>185</v>
      </c>
    </row>
    <row r="37" spans="1:4">
      <c r="A37">
        <f t="shared" si="1"/>
        <v>33</v>
      </c>
      <c r="B37" t="s">
        <v>62</v>
      </c>
      <c r="C37">
        <v>8</v>
      </c>
      <c r="D37">
        <f t="shared" si="0"/>
        <v>296</v>
      </c>
    </row>
    <row r="38" spans="1:4">
      <c r="A38">
        <f t="shared" si="1"/>
        <v>34</v>
      </c>
      <c r="B38" t="s">
        <v>48</v>
      </c>
      <c r="C38">
        <v>2</v>
      </c>
      <c r="D38">
        <f t="shared" si="0"/>
        <v>74</v>
      </c>
    </row>
    <row r="39" spans="1:4">
      <c r="A39">
        <f t="shared" si="1"/>
        <v>35</v>
      </c>
      <c r="B39" t="s">
        <v>49</v>
      </c>
      <c r="C39">
        <v>8</v>
      </c>
      <c r="D39">
        <f t="shared" si="0"/>
        <v>296</v>
      </c>
    </row>
    <row r="41" spans="1:4">
      <c r="A41" s="131">
        <f>OBJ!C2</f>
        <v>5</v>
      </c>
      <c r="B41" s="131" t="str">
        <f>OBJ!B2</f>
        <v>East Village</v>
      </c>
      <c r="C41" s="132">
        <f>VLOOKUP($B41,$B$5:$D$39,COLUMN(B40),FALSE)</f>
        <v>6</v>
      </c>
      <c r="D41" s="132">
        <f>VLOOKUP($B41,$B$5:$D$39,COLUMN(C40),FALSE)</f>
        <v>222</v>
      </c>
    </row>
    <row r="42" spans="1:4">
      <c r="A42" s="131">
        <f>OBJ!C3</f>
        <v>33</v>
      </c>
      <c r="B42" s="131" t="str">
        <f>OBJ!B3</f>
        <v>Upper West Side</v>
      </c>
      <c r="C42" s="132">
        <f t="shared" ref="C42:D43" si="2">VLOOKUP($B42,$B$5:$D$39,COLUMN(B41),FALSE)</f>
        <v>8</v>
      </c>
      <c r="D42" s="132">
        <f t="shared" si="2"/>
        <v>296</v>
      </c>
    </row>
    <row r="43" spans="1:4">
      <c r="A43" s="131">
        <f>OBJ!C4</f>
        <v>18</v>
      </c>
      <c r="B43" s="131" t="str">
        <f>OBJ!B4</f>
        <v>Midtown East</v>
      </c>
      <c r="C43" s="132">
        <f t="shared" si="2"/>
        <v>5</v>
      </c>
      <c r="D43" s="132">
        <f t="shared" si="2"/>
        <v>185</v>
      </c>
    </row>
  </sheetData>
  <phoneticPr fontId="0" type="noConversion"/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Inputs</vt:lpstr>
      <vt:lpstr>OBJ</vt:lpstr>
      <vt:lpstr>Travel</vt:lpstr>
      <vt:lpstr>Bars</vt:lpstr>
      <vt:lpstr>Air</vt:lpstr>
      <vt:lpstr>Movies</vt:lpstr>
      <vt:lpstr>Safety</vt:lpstr>
      <vt:lpstr>Hospitals</vt:lpstr>
      <vt:lpstr>Culture</vt:lpstr>
      <vt:lpstr>Shops</vt:lpstr>
      <vt:lpstr>Housing</vt:lpstr>
      <vt:lpstr>Exit</vt:lpstr>
      <vt:lpstr>Schools</vt:lpstr>
      <vt:lpstr>Grocery</vt:lpstr>
      <vt:lpstr>Gym</vt:lpstr>
      <vt:lpstr>Parks</vt:lpstr>
      <vt:lpstr>Parking</vt:lpstr>
      <vt:lpstr>Size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Goldman</dc:creator>
  <cp:lastModifiedBy>Craig</cp:lastModifiedBy>
  <dcterms:created xsi:type="dcterms:W3CDTF">2010-03-15T14:58:54Z</dcterms:created>
  <dcterms:modified xsi:type="dcterms:W3CDTF">2010-04-23T20:35:27Z</dcterms:modified>
</cp:coreProperties>
</file>