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90" windowWidth="8595" windowHeight="4170"/>
  </bookViews>
  <sheets>
    <sheet name="Model" sheetId="6" r:id="rId1"/>
    <sheet name="Flight_Cost Data" sheetId="5" r:id="rId2"/>
    <sheet name="Resort_Qualitative_Data" sheetId="1" r:id="rId3"/>
    <sheet name="Hotel Info" sheetId="3" r:id="rId4"/>
  </sheets>
  <definedNames>
    <definedName name="Driving_Info">'Flight_Cost Data'!$B$32:$M$44</definedName>
    <definedName name="Flight_Info">'Flight_Cost Data'!$B$17:$M$29</definedName>
    <definedName name="greg">'Flight_Cost Data'!$F$2:$G$2</definedName>
    <definedName name="Hotel_Info">'Hotel Info'!$B$17:$L$52</definedName>
    <definedName name="Mountain_Info">Resort_Qualitative_Data!$B$10:$P$21</definedName>
    <definedName name="solver_adj" localSheetId="0" hidden="1">Model!$D$6:$D$41</definedName>
    <definedName name="solver_cvg" localSheetId="0" hidden="1">0.000001</definedName>
    <definedName name="solver_drv" localSheetId="0" hidden="1">1</definedName>
    <definedName name="solver_eng" localSheetId="0" hidden="1">3</definedName>
    <definedName name="solver_est" localSheetId="0" hidden="1">1</definedName>
    <definedName name="solver_itr" localSheetId="0" hidden="1">100</definedName>
    <definedName name="solver_lhs1" localSheetId="0" hidden="1">Model!$D$43</definedName>
    <definedName name="solver_lhs2" localSheetId="0" hidden="1">Model!$D$6:$D$41</definedName>
    <definedName name="solver_lhs3" localSheetId="0" hidden="1">Model!$G$75:$N$75</definedName>
    <definedName name="solver_lhs4" localSheetId="0" hidden="1">Model!$G$75:$N$75</definedName>
    <definedName name="solver_lhs5" localSheetId="0" hidden="1">Model!$D$6:$D$41</definedName>
    <definedName name="solver_lhs6" localSheetId="0" hidden="1">Model!$D$6:$D$41</definedName>
    <definedName name="solver_lin" localSheetId="0" hidden="1">2</definedName>
    <definedName name="solver_mip" localSheetId="0" hidden="1">2147483647</definedName>
    <definedName name="solver_mni" localSheetId="0" hidden="1">60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2</definedName>
    <definedName name="solver_nwt" localSheetId="0" hidden="1">1</definedName>
    <definedName name="solver_opt" localSheetId="0" hidden="1">Model!$G$92</definedName>
    <definedName name="solver_pre" localSheetId="0" hidden="1">0.000000000001</definedName>
    <definedName name="solver_rbv" localSheetId="0" hidden="1">1</definedName>
    <definedName name="solver_rel1" localSheetId="0" hidden="1">2</definedName>
    <definedName name="solver_rel2" localSheetId="0" hidden="1">5</definedName>
    <definedName name="solver_rel3" localSheetId="0" hidden="1">1</definedName>
    <definedName name="solver_rel4" localSheetId="0" hidden="1">1</definedName>
    <definedName name="solver_rel5" localSheetId="0" hidden="1">4</definedName>
    <definedName name="solver_rel6" localSheetId="0" hidden="1">5</definedName>
    <definedName name="solver_rhs1" localSheetId="0" hidden="1">Model!$D$44</definedName>
    <definedName name="solver_rhs2" localSheetId="0" hidden="1">binary</definedName>
    <definedName name="solver_rhs3" localSheetId="0" hidden="1">Model!$G$77:$N$77</definedName>
    <definedName name="solver_rhs4" localSheetId="0" hidden="1">Model!$G$77:$N$77</definedName>
    <definedName name="solver_rhs5" localSheetId="0" hidden="1">integer</definedName>
    <definedName name="solver_rhs6" localSheetId="0" hidden="1">binary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ol" localSheetId="0" hidden="1">0.00000005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25725"/>
</workbook>
</file>

<file path=xl/calcChain.xml><?xml version="1.0" encoding="utf-8"?>
<calcChain xmlns="http://schemas.openxmlformats.org/spreadsheetml/2006/main">
  <c r="N83" i="6"/>
  <c r="M83"/>
  <c r="L83"/>
  <c r="K83"/>
  <c r="J83"/>
  <c r="I83"/>
  <c r="H83"/>
  <c r="G83"/>
  <c r="F18" i="5"/>
  <c r="L25" i="3"/>
  <c r="L17"/>
  <c r="I17"/>
  <c r="I19"/>
  <c r="I18"/>
  <c r="Q53" i="6" l="1"/>
  <c r="Q55" s="1"/>
  <c r="H18" i="5"/>
  <c r="N67" i="6"/>
  <c r="M67"/>
  <c r="L67"/>
  <c r="K67"/>
  <c r="J67"/>
  <c r="I67"/>
  <c r="H67"/>
  <c r="G67"/>
  <c r="N65"/>
  <c r="M65"/>
  <c r="L65"/>
  <c r="K65"/>
  <c r="J65"/>
  <c r="I65"/>
  <c r="H65"/>
  <c r="G65"/>
  <c r="I18" i="5"/>
  <c r="H33"/>
  <c r="E1" i="6"/>
  <c r="D50"/>
  <c r="D51" s="1"/>
  <c r="J3"/>
  <c r="J10" s="1"/>
  <c r="I3"/>
  <c r="C27" i="1"/>
  <c r="K3" i="6" s="1"/>
  <c r="D27" i="1"/>
  <c r="E27"/>
  <c r="F27"/>
  <c r="G27"/>
  <c r="H27"/>
  <c r="R28" i="6" s="1"/>
  <c r="I27" i="1"/>
  <c r="J27"/>
  <c r="K27"/>
  <c r="L27"/>
  <c r="R29" i="6" s="1"/>
  <c r="M27" i="1"/>
  <c r="N27"/>
  <c r="O27"/>
  <c r="P27"/>
  <c r="N3" i="6" s="1"/>
  <c r="G33" i="5"/>
  <c r="I33"/>
  <c r="J33"/>
  <c r="K33"/>
  <c r="L33"/>
  <c r="M33"/>
  <c r="G34"/>
  <c r="H34"/>
  <c r="I34"/>
  <c r="J34"/>
  <c r="K34"/>
  <c r="L34"/>
  <c r="M34"/>
  <c r="G35"/>
  <c r="H35"/>
  <c r="I35"/>
  <c r="J35"/>
  <c r="K35"/>
  <c r="L35"/>
  <c r="M35"/>
  <c r="G36"/>
  <c r="H36"/>
  <c r="I36"/>
  <c r="J36"/>
  <c r="K36"/>
  <c r="L36"/>
  <c r="M36"/>
  <c r="G37"/>
  <c r="H37"/>
  <c r="I37"/>
  <c r="J37"/>
  <c r="K37"/>
  <c r="L37"/>
  <c r="M37"/>
  <c r="G38"/>
  <c r="H38"/>
  <c r="I38"/>
  <c r="J38"/>
  <c r="K38"/>
  <c r="L38"/>
  <c r="M38"/>
  <c r="G39"/>
  <c r="H39"/>
  <c r="I39"/>
  <c r="J39"/>
  <c r="K39"/>
  <c r="L39"/>
  <c r="M39"/>
  <c r="G40"/>
  <c r="H40"/>
  <c r="I40"/>
  <c r="J40"/>
  <c r="K40"/>
  <c r="L40"/>
  <c r="M40"/>
  <c r="G41"/>
  <c r="H41"/>
  <c r="I41"/>
  <c r="J41"/>
  <c r="K41"/>
  <c r="L41"/>
  <c r="M41"/>
  <c r="G42"/>
  <c r="H42"/>
  <c r="I42"/>
  <c r="J42"/>
  <c r="K42"/>
  <c r="L42"/>
  <c r="M42"/>
  <c r="G43"/>
  <c r="H43"/>
  <c r="I43"/>
  <c r="J43"/>
  <c r="K43"/>
  <c r="L43"/>
  <c r="M43"/>
  <c r="G44"/>
  <c r="H44"/>
  <c r="I44"/>
  <c r="J44"/>
  <c r="K44"/>
  <c r="L44"/>
  <c r="M44"/>
  <c r="F34"/>
  <c r="F35"/>
  <c r="F36"/>
  <c r="F37"/>
  <c r="F38"/>
  <c r="F39"/>
  <c r="F40"/>
  <c r="F41"/>
  <c r="F42"/>
  <c r="F43"/>
  <c r="F44"/>
  <c r="F33"/>
  <c r="R30" i="6"/>
  <c r="B27" i="1"/>
  <c r="R19" i="6"/>
  <c r="R9"/>
  <c r="L52" i="3"/>
  <c r="L51"/>
  <c r="L50"/>
  <c r="L49"/>
  <c r="L48"/>
  <c r="L47"/>
  <c r="L46"/>
  <c r="L45"/>
  <c r="L44"/>
  <c r="L43"/>
  <c r="L42"/>
  <c r="L41"/>
  <c r="L40"/>
  <c r="L39"/>
  <c r="L38"/>
  <c r="L37"/>
  <c r="L36"/>
  <c r="L35"/>
  <c r="L34"/>
  <c r="L33"/>
  <c r="L32"/>
  <c r="L31"/>
  <c r="L30"/>
  <c r="L29"/>
  <c r="L28"/>
  <c r="L27"/>
  <c r="L26"/>
  <c r="L24"/>
  <c r="L23"/>
  <c r="L22"/>
  <c r="L21"/>
  <c r="L20"/>
  <c r="L19"/>
  <c r="L18"/>
  <c r="C54"/>
  <c r="D54"/>
  <c r="E54"/>
  <c r="E3" i="6" s="1"/>
  <c r="E13" s="1"/>
  <c r="F54" i="3"/>
  <c r="F3" i="6" s="1"/>
  <c r="F39" s="1"/>
  <c r="G54" i="3"/>
  <c r="H54"/>
  <c r="I54"/>
  <c r="R15" i="6" s="1"/>
  <c r="J54" i="3"/>
  <c r="K54"/>
  <c r="L54"/>
  <c r="H3" i="6" s="1"/>
  <c r="H39" s="1"/>
  <c r="M54" i="3"/>
  <c r="B54"/>
  <c r="D43" i="6"/>
  <c r="M29" i="5"/>
  <c r="L29"/>
  <c r="K29"/>
  <c r="J29"/>
  <c r="I29"/>
  <c r="H29"/>
  <c r="M28"/>
  <c r="L28"/>
  <c r="K28"/>
  <c r="J28"/>
  <c r="I28"/>
  <c r="H28"/>
  <c r="M27"/>
  <c r="L27"/>
  <c r="K27"/>
  <c r="J27"/>
  <c r="I27"/>
  <c r="H27"/>
  <c r="M26"/>
  <c r="L26"/>
  <c r="K26"/>
  <c r="J26"/>
  <c r="I26"/>
  <c r="H26"/>
  <c r="M25"/>
  <c r="L25"/>
  <c r="K25"/>
  <c r="J25"/>
  <c r="I25"/>
  <c r="H25"/>
  <c r="M24"/>
  <c r="L24"/>
  <c r="K24"/>
  <c r="J24"/>
  <c r="I24"/>
  <c r="H24"/>
  <c r="M23"/>
  <c r="L23"/>
  <c r="K23"/>
  <c r="J23"/>
  <c r="I23"/>
  <c r="H23"/>
  <c r="M22"/>
  <c r="L22"/>
  <c r="K22"/>
  <c r="J22"/>
  <c r="I22"/>
  <c r="H22"/>
  <c r="M21"/>
  <c r="L21"/>
  <c r="K21"/>
  <c r="J21"/>
  <c r="I21"/>
  <c r="H21"/>
  <c r="M20"/>
  <c r="L20"/>
  <c r="K20"/>
  <c r="J20"/>
  <c r="I20"/>
  <c r="H20"/>
  <c r="M19"/>
  <c r="L19"/>
  <c r="K19"/>
  <c r="J19"/>
  <c r="I19"/>
  <c r="H19"/>
  <c r="M18"/>
  <c r="L18"/>
  <c r="K18"/>
  <c r="J18"/>
  <c r="G29"/>
  <c r="G28"/>
  <c r="G27"/>
  <c r="G26"/>
  <c r="G25"/>
  <c r="G24"/>
  <c r="G23"/>
  <c r="G22"/>
  <c r="G21"/>
  <c r="G20"/>
  <c r="G19"/>
  <c r="G18"/>
  <c r="F29"/>
  <c r="F28"/>
  <c r="F27"/>
  <c r="F26"/>
  <c r="F25"/>
  <c r="F24"/>
  <c r="F23"/>
  <c r="F22"/>
  <c r="F21"/>
  <c r="F20"/>
  <c r="F19"/>
  <c r="O6" i="1"/>
  <c r="N6"/>
  <c r="K6"/>
  <c r="J6"/>
  <c r="G6"/>
  <c r="F6"/>
  <c r="E6"/>
  <c r="I49" i="3"/>
  <c r="I52"/>
  <c r="I51"/>
  <c r="I50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O7" i="1"/>
  <c r="N7"/>
  <c r="F7"/>
  <c r="K7"/>
  <c r="J7"/>
  <c r="E7"/>
  <c r="E7" i="6" l="1"/>
  <c r="E12"/>
  <c r="E11"/>
  <c r="E8"/>
  <c r="E6"/>
  <c r="E10"/>
  <c r="E14"/>
  <c r="E9"/>
  <c r="H13" i="1"/>
  <c r="H12"/>
  <c r="H11"/>
  <c r="H10"/>
  <c r="H19"/>
  <c r="P6"/>
  <c r="R23" i="6"/>
  <c r="I39"/>
  <c r="H14" i="1"/>
  <c r="R10" i="6"/>
  <c r="I18"/>
  <c r="H17" i="1"/>
  <c r="H18"/>
  <c r="R14" i="6"/>
  <c r="L3"/>
  <c r="L21" i="1"/>
  <c r="P14"/>
  <c r="L16"/>
  <c r="M3" i="6"/>
  <c r="J39"/>
  <c r="K39" s="1"/>
  <c r="I10"/>
  <c r="I26"/>
  <c r="E34"/>
  <c r="I34"/>
  <c r="K10"/>
  <c r="E18"/>
  <c r="J31"/>
  <c r="J23"/>
  <c r="J15"/>
  <c r="J7"/>
  <c r="E28"/>
  <c r="I8"/>
  <c r="I32"/>
  <c r="J40"/>
  <c r="J32"/>
  <c r="J24"/>
  <c r="J16"/>
  <c r="J8"/>
  <c r="E38"/>
  <c r="E30"/>
  <c r="E22"/>
  <c r="I6"/>
  <c r="I14"/>
  <c r="I22"/>
  <c r="I30"/>
  <c r="I38"/>
  <c r="J41"/>
  <c r="J37"/>
  <c r="J33"/>
  <c r="J29"/>
  <c r="J25"/>
  <c r="J21"/>
  <c r="J17"/>
  <c r="J13"/>
  <c r="J9"/>
  <c r="E26"/>
  <c r="J35"/>
  <c r="J27"/>
  <c r="J19"/>
  <c r="J11"/>
  <c r="E36"/>
  <c r="E20"/>
  <c r="I16"/>
  <c r="I24"/>
  <c r="I40"/>
  <c r="J36"/>
  <c r="J28"/>
  <c r="J20"/>
  <c r="J12"/>
  <c r="E40"/>
  <c r="E32"/>
  <c r="E24"/>
  <c r="E16"/>
  <c r="I12"/>
  <c r="I20"/>
  <c r="I28"/>
  <c r="I36"/>
  <c r="J6"/>
  <c r="J38"/>
  <c r="J34"/>
  <c r="J30"/>
  <c r="J26"/>
  <c r="J22"/>
  <c r="J18"/>
  <c r="J14"/>
  <c r="F6"/>
  <c r="F10"/>
  <c r="F14"/>
  <c r="F18"/>
  <c r="F22"/>
  <c r="F26"/>
  <c r="F30"/>
  <c r="F34"/>
  <c r="F38"/>
  <c r="H6"/>
  <c r="H10"/>
  <c r="H14"/>
  <c r="H18"/>
  <c r="H22"/>
  <c r="H26"/>
  <c r="H30"/>
  <c r="H34"/>
  <c r="H38"/>
  <c r="E39"/>
  <c r="E35"/>
  <c r="E31"/>
  <c r="E27"/>
  <c r="E23"/>
  <c r="E19"/>
  <c r="E15"/>
  <c r="F9"/>
  <c r="G9" s="1"/>
  <c r="F13"/>
  <c r="F17"/>
  <c r="F21"/>
  <c r="F25"/>
  <c r="F29"/>
  <c r="F33"/>
  <c r="F37"/>
  <c r="F41"/>
  <c r="H9"/>
  <c r="H13"/>
  <c r="H17"/>
  <c r="H21"/>
  <c r="H25"/>
  <c r="H29"/>
  <c r="H33"/>
  <c r="H37"/>
  <c r="H41"/>
  <c r="I9"/>
  <c r="I13"/>
  <c r="I17"/>
  <c r="I21"/>
  <c r="I25"/>
  <c r="I29"/>
  <c r="I33"/>
  <c r="I37"/>
  <c r="I41"/>
  <c r="F8"/>
  <c r="F12"/>
  <c r="F16"/>
  <c r="F20"/>
  <c r="F24"/>
  <c r="F28"/>
  <c r="F32"/>
  <c r="F36"/>
  <c r="F40"/>
  <c r="H8"/>
  <c r="H12"/>
  <c r="H16"/>
  <c r="H20"/>
  <c r="H24"/>
  <c r="H28"/>
  <c r="H32"/>
  <c r="H36"/>
  <c r="H40"/>
  <c r="E41"/>
  <c r="E37"/>
  <c r="E33"/>
  <c r="E29"/>
  <c r="E25"/>
  <c r="E21"/>
  <c r="E17"/>
  <c r="F7"/>
  <c r="F11"/>
  <c r="F15"/>
  <c r="F19"/>
  <c r="F23"/>
  <c r="F27"/>
  <c r="F31"/>
  <c r="F35"/>
  <c r="H7"/>
  <c r="H11"/>
  <c r="H15"/>
  <c r="H19"/>
  <c r="H23"/>
  <c r="H27"/>
  <c r="H31"/>
  <c r="H35"/>
  <c r="I7"/>
  <c r="I11"/>
  <c r="I15"/>
  <c r="I19"/>
  <c r="I23"/>
  <c r="I27"/>
  <c r="I31"/>
  <c r="I35"/>
  <c r="P19" i="1"/>
  <c r="L12"/>
  <c r="L20"/>
  <c r="P10"/>
  <c r="P18"/>
  <c r="H21"/>
  <c r="L15"/>
  <c r="P17"/>
  <c r="H16"/>
  <c r="H20"/>
  <c r="L10"/>
  <c r="L14"/>
  <c r="L18"/>
  <c r="P12"/>
  <c r="P16"/>
  <c r="P20"/>
  <c r="L11"/>
  <c r="L19"/>
  <c r="P13"/>
  <c r="P21"/>
  <c r="L10" i="6"/>
  <c r="H15" i="1"/>
  <c r="L6"/>
  <c r="L13"/>
  <c r="L17"/>
  <c r="P11"/>
  <c r="N10" i="6" s="1"/>
  <c r="P15" i="1"/>
  <c r="H6"/>
  <c r="M10" i="6" l="1"/>
  <c r="G10"/>
  <c r="G8"/>
  <c r="N39"/>
  <c r="L39"/>
  <c r="M39"/>
  <c r="N38"/>
  <c r="M38"/>
  <c r="L38"/>
  <c r="K38"/>
  <c r="N33"/>
  <c r="M33"/>
  <c r="K33"/>
  <c r="L33"/>
  <c r="N40"/>
  <c r="M40"/>
  <c r="L40"/>
  <c r="K40"/>
  <c r="N18"/>
  <c r="M18"/>
  <c r="L18"/>
  <c r="K18"/>
  <c r="N12"/>
  <c r="M12"/>
  <c r="L12"/>
  <c r="K12"/>
  <c r="N13"/>
  <c r="L13"/>
  <c r="K13"/>
  <c r="M13"/>
  <c r="N32"/>
  <c r="M32"/>
  <c r="L32"/>
  <c r="K32"/>
  <c r="K23"/>
  <c r="N23"/>
  <c r="M23"/>
  <c r="L23"/>
  <c r="G6"/>
  <c r="D56"/>
  <c r="N26"/>
  <c r="M26"/>
  <c r="L26"/>
  <c r="K26"/>
  <c r="N6"/>
  <c r="M6"/>
  <c r="L6"/>
  <c r="K6"/>
  <c r="N28"/>
  <c r="M28"/>
  <c r="L28"/>
  <c r="K28"/>
  <c r="N19"/>
  <c r="M19"/>
  <c r="L19"/>
  <c r="K19"/>
  <c r="N21"/>
  <c r="L21"/>
  <c r="K21"/>
  <c r="M21"/>
  <c r="N37"/>
  <c r="L37"/>
  <c r="K37"/>
  <c r="M37"/>
  <c r="N16"/>
  <c r="M16"/>
  <c r="K16"/>
  <c r="L16"/>
  <c r="K7"/>
  <c r="N7"/>
  <c r="M7"/>
  <c r="L7"/>
  <c r="D60"/>
  <c r="D61"/>
  <c r="N22"/>
  <c r="M22"/>
  <c r="L22"/>
  <c r="K22"/>
  <c r="N20"/>
  <c r="M20"/>
  <c r="L20"/>
  <c r="K20"/>
  <c r="N11"/>
  <c r="M11"/>
  <c r="L11"/>
  <c r="K11"/>
  <c r="M17"/>
  <c r="K17"/>
  <c r="N17"/>
  <c r="L17"/>
  <c r="N8"/>
  <c r="M8"/>
  <c r="L8"/>
  <c r="K8"/>
  <c r="K31"/>
  <c r="N31"/>
  <c r="M31"/>
  <c r="L31"/>
  <c r="N34"/>
  <c r="M34"/>
  <c r="L34"/>
  <c r="K34"/>
  <c r="N35"/>
  <c r="M35"/>
  <c r="L35"/>
  <c r="K35"/>
  <c r="N29"/>
  <c r="L29"/>
  <c r="K29"/>
  <c r="M29"/>
  <c r="N14"/>
  <c r="M14"/>
  <c r="L14"/>
  <c r="K14"/>
  <c r="N30"/>
  <c r="M30"/>
  <c r="L30"/>
  <c r="K30"/>
  <c r="N36"/>
  <c r="M36"/>
  <c r="L36"/>
  <c r="K36"/>
  <c r="N27"/>
  <c r="M27"/>
  <c r="L27"/>
  <c r="K27"/>
  <c r="D63"/>
  <c r="M9"/>
  <c r="K9"/>
  <c r="N9"/>
  <c r="L9"/>
  <c r="N25"/>
  <c r="M25"/>
  <c r="K25"/>
  <c r="L25"/>
  <c r="N41"/>
  <c r="M41"/>
  <c r="K41"/>
  <c r="L41"/>
  <c r="N24"/>
  <c r="M24"/>
  <c r="L24"/>
  <c r="K24"/>
  <c r="K15"/>
  <c r="N15"/>
  <c r="M15"/>
  <c r="L15"/>
  <c r="G12"/>
  <c r="D55"/>
  <c r="G7"/>
  <c r="G15"/>
  <c r="G13"/>
  <c r="G11"/>
  <c r="I84" l="1"/>
  <c r="G84"/>
  <c r="H85"/>
  <c r="G85"/>
  <c r="G71"/>
  <c r="G72" s="1"/>
  <c r="G69"/>
  <c r="D72"/>
  <c r="G88" s="1"/>
  <c r="D70"/>
  <c r="G86" s="1"/>
  <c r="D71"/>
  <c r="K71"/>
  <c r="K72" s="1"/>
  <c r="K69"/>
  <c r="H71"/>
  <c r="H72" s="1"/>
  <c r="M71"/>
  <c r="M72" s="1"/>
  <c r="I71"/>
  <c r="I72" s="1"/>
  <c r="M69"/>
  <c r="I69"/>
  <c r="N71"/>
  <c r="N72" s="1"/>
  <c r="J71"/>
  <c r="J72" s="1"/>
  <c r="N69"/>
  <c r="J69"/>
  <c r="L71"/>
  <c r="L72" s="1"/>
  <c r="L69"/>
  <c r="H69"/>
  <c r="D67"/>
  <c r="G64" s="1"/>
  <c r="G14"/>
  <c r="G18"/>
  <c r="G16"/>
  <c r="J85"/>
  <c r="H84"/>
  <c r="L84"/>
  <c r="I85"/>
  <c r="D57"/>
  <c r="G63" s="1"/>
  <c r="L85"/>
  <c r="K84"/>
  <c r="N85"/>
  <c r="N84"/>
  <c r="J84"/>
  <c r="K85"/>
  <c r="M84"/>
  <c r="M85"/>
  <c r="Q56" l="1"/>
  <c r="J87"/>
  <c r="G87"/>
  <c r="G90" s="1"/>
  <c r="G70"/>
  <c r="H70"/>
  <c r="H63"/>
  <c r="G19"/>
  <c r="G21"/>
  <c r="G17"/>
  <c r="O84"/>
  <c r="O85"/>
  <c r="J63"/>
  <c r="L63"/>
  <c r="I63"/>
  <c r="H87"/>
  <c r="M87"/>
  <c r="L87"/>
  <c r="I87"/>
  <c r="K63"/>
  <c r="M63"/>
  <c r="N63"/>
  <c r="N87"/>
  <c r="K87"/>
  <c r="N70"/>
  <c r="M70"/>
  <c r="I70"/>
  <c r="L70"/>
  <c r="J70"/>
  <c r="K70"/>
  <c r="L88"/>
  <c r="K88"/>
  <c r="M88"/>
  <c r="J88"/>
  <c r="N88"/>
  <c r="I88"/>
  <c r="H88"/>
  <c r="L64"/>
  <c r="J64"/>
  <c r="N64"/>
  <c r="H64"/>
  <c r="M64"/>
  <c r="K64"/>
  <c r="I64"/>
  <c r="K86"/>
  <c r="J86"/>
  <c r="I86"/>
  <c r="N86"/>
  <c r="L86"/>
  <c r="M86"/>
  <c r="H86"/>
  <c r="Q54" l="1"/>
  <c r="Q57"/>
  <c r="Q58" s="1"/>
  <c r="G20"/>
  <c r="G22"/>
  <c r="G24"/>
  <c r="O88"/>
  <c r="O86"/>
  <c r="O87"/>
  <c r="J90"/>
  <c r="H90"/>
  <c r="I90"/>
  <c r="K90"/>
  <c r="M90"/>
  <c r="N90"/>
  <c r="L90"/>
  <c r="Q59" l="1"/>
  <c r="G73" s="1"/>
  <c r="G23"/>
  <c r="G27"/>
  <c r="G25"/>
  <c r="G28" l="1"/>
  <c r="G26"/>
  <c r="G30"/>
  <c r="M73"/>
  <c r="M75" s="1"/>
  <c r="M78" s="1"/>
  <c r="I73"/>
  <c r="I75" s="1"/>
  <c r="I78" s="1"/>
  <c r="K73"/>
  <c r="K75" s="1"/>
  <c r="K78" s="1"/>
  <c r="N73"/>
  <c r="N75" s="1"/>
  <c r="N78" s="1"/>
  <c r="H73"/>
  <c r="H75" s="1"/>
  <c r="H78" s="1"/>
  <c r="J73"/>
  <c r="J75" s="1"/>
  <c r="J78" s="1"/>
  <c r="L73"/>
  <c r="L75" s="1"/>
  <c r="L78" s="1"/>
  <c r="G75"/>
  <c r="G78" s="1"/>
  <c r="G92" l="1"/>
  <c r="G33"/>
  <c r="G29"/>
  <c r="G31"/>
  <c r="G34" l="1"/>
  <c r="G36"/>
  <c r="G39"/>
  <c r="G32"/>
  <c r="G35" l="1"/>
  <c r="G37"/>
  <c r="G40"/>
  <c r="G38" l="1"/>
  <c r="G41"/>
</calcChain>
</file>

<file path=xl/comments1.xml><?xml version="1.0" encoding="utf-8"?>
<comments xmlns="http://schemas.openxmlformats.org/spreadsheetml/2006/main">
  <authors>
    <author>Edward Scott Yocum</author>
  </authors>
  <commentList>
    <comment ref="R9" authorId="0">
      <text>
        <r>
          <rPr>
            <b/>
            <sz val="9"/>
            <color indexed="81"/>
            <rFont val="Tahoma"/>
            <family val="2"/>
          </rPr>
          <t>Note:</t>
        </r>
        <r>
          <rPr>
            <sz val="9"/>
            <color indexed="81"/>
            <rFont val="Tahoma"/>
            <family val="2"/>
          </rPr>
          <t xml:space="preserve">
Lookup value - don't touch</t>
        </r>
      </text>
    </comment>
    <comment ref="R10" authorId="0">
      <text>
        <r>
          <rPr>
            <b/>
            <sz val="9"/>
            <color indexed="81"/>
            <rFont val="Tahoma"/>
            <family val="2"/>
          </rPr>
          <t>Note:</t>
        </r>
        <r>
          <rPr>
            <sz val="9"/>
            <color indexed="81"/>
            <rFont val="Tahoma"/>
            <family val="2"/>
          </rPr>
          <t xml:space="preserve">
Lookup value - don't touch</t>
        </r>
      </text>
    </comment>
    <comment ref="R14" authorId="0">
      <text>
        <r>
          <rPr>
            <b/>
            <sz val="9"/>
            <color indexed="81"/>
            <rFont val="Tahoma"/>
            <family val="2"/>
          </rPr>
          <t>Note:</t>
        </r>
        <r>
          <rPr>
            <sz val="9"/>
            <color indexed="81"/>
            <rFont val="Tahoma"/>
            <family val="2"/>
          </rPr>
          <t xml:space="preserve">
Lookup value - don't touch</t>
        </r>
      </text>
    </comment>
    <comment ref="R15" authorId="0">
      <text>
        <r>
          <rPr>
            <b/>
            <sz val="9"/>
            <color indexed="81"/>
            <rFont val="Tahoma"/>
            <family val="2"/>
          </rPr>
          <t>Note:</t>
        </r>
        <r>
          <rPr>
            <sz val="9"/>
            <color indexed="81"/>
            <rFont val="Tahoma"/>
            <family val="2"/>
          </rPr>
          <t xml:space="preserve">
Lookup value - don't touch</t>
        </r>
      </text>
    </comment>
    <comment ref="R19" authorId="0">
      <text>
        <r>
          <rPr>
            <b/>
            <sz val="9"/>
            <color indexed="81"/>
            <rFont val="Tahoma"/>
            <family val="2"/>
          </rPr>
          <t>Note:</t>
        </r>
        <r>
          <rPr>
            <sz val="9"/>
            <color indexed="81"/>
            <rFont val="Tahoma"/>
            <family val="2"/>
          </rPr>
          <t xml:space="preserve">
Lookup value - don't touch</t>
        </r>
      </text>
    </comment>
    <comment ref="R23" authorId="0">
      <text>
        <r>
          <rPr>
            <b/>
            <sz val="9"/>
            <color indexed="81"/>
            <rFont val="Tahoma"/>
            <family val="2"/>
          </rPr>
          <t>Note:</t>
        </r>
        <r>
          <rPr>
            <sz val="9"/>
            <color indexed="81"/>
            <rFont val="Tahoma"/>
            <family val="2"/>
          </rPr>
          <t xml:space="preserve">
Lookup value - don't touch</t>
        </r>
      </text>
    </comment>
    <comment ref="R28" authorId="0">
      <text>
        <r>
          <rPr>
            <b/>
            <sz val="9"/>
            <color indexed="81"/>
            <rFont val="Tahoma"/>
            <family val="2"/>
          </rPr>
          <t>Note:</t>
        </r>
        <r>
          <rPr>
            <sz val="9"/>
            <color indexed="81"/>
            <rFont val="Tahoma"/>
            <family val="2"/>
          </rPr>
          <t xml:space="preserve">
Lookup value - don't touch</t>
        </r>
      </text>
    </comment>
    <comment ref="R29" authorId="0">
      <text>
        <r>
          <rPr>
            <b/>
            <sz val="9"/>
            <color indexed="81"/>
            <rFont val="Tahoma"/>
            <family val="2"/>
          </rPr>
          <t>Note:</t>
        </r>
        <r>
          <rPr>
            <sz val="9"/>
            <color indexed="81"/>
            <rFont val="Tahoma"/>
            <family val="2"/>
          </rPr>
          <t xml:space="preserve">
Lookup value - don't touch</t>
        </r>
      </text>
    </comment>
    <comment ref="R30" authorId="0">
      <text>
        <r>
          <rPr>
            <b/>
            <sz val="9"/>
            <color indexed="81"/>
            <rFont val="Tahoma"/>
            <family val="2"/>
          </rPr>
          <t>Note:</t>
        </r>
        <r>
          <rPr>
            <sz val="9"/>
            <color indexed="81"/>
            <rFont val="Tahoma"/>
            <family val="2"/>
          </rPr>
          <t xml:space="preserve">
Lookup value - don't touch</t>
        </r>
      </text>
    </comment>
  </commentList>
</comments>
</file>

<file path=xl/comments2.xml><?xml version="1.0" encoding="utf-8"?>
<comments xmlns="http://schemas.openxmlformats.org/spreadsheetml/2006/main">
  <authors>
    <author>Edward Scott Yocum</author>
  </authors>
  <commentList>
    <comment ref="C13" authorId="0">
      <text>
        <r>
          <rPr>
            <b/>
            <sz val="9"/>
            <color indexed="81"/>
            <rFont val="Tahoma"/>
            <family val="2"/>
          </rPr>
          <t xml:space="preserve">Note: </t>
        </r>
        <r>
          <rPr>
            <sz val="9"/>
            <color indexed="81"/>
            <rFont val="Tahoma"/>
            <family val="2"/>
          </rPr>
          <t xml:space="preserve">Reflects hometown transport costs only 
</t>
        </r>
      </text>
    </comment>
  </commentList>
</comments>
</file>

<file path=xl/comments3.xml><?xml version="1.0" encoding="utf-8"?>
<comments xmlns="http://schemas.openxmlformats.org/spreadsheetml/2006/main">
  <authors>
    <author>Greg's Computer</author>
  </authors>
  <commentList>
    <comment ref="H21" authorId="0">
      <text>
        <r>
          <rPr>
            <b/>
            <sz val="10"/>
            <color indexed="81"/>
            <rFont val="Arial"/>
            <family val="2"/>
          </rPr>
          <t>=((E21/E$7*E$6)+(F21/F$7*F$6)+(G21/G$7*G$6))*5</t>
        </r>
      </text>
    </comment>
    <comment ref="L21" authorId="0">
      <text>
        <r>
          <rPr>
            <b/>
            <sz val="10"/>
            <color indexed="81"/>
            <rFont val="Arial"/>
            <family val="2"/>
          </rPr>
          <t>=((J21/J$7*J$6)+(K21/K$7*K$6))*5</t>
        </r>
      </text>
    </comment>
    <comment ref="P21" authorId="0">
      <text>
        <r>
          <rPr>
            <b/>
            <sz val="10"/>
            <color indexed="81"/>
            <rFont val="Arial"/>
            <family val="2"/>
          </rPr>
          <t>=(N21/N$7*N$6)+(O21/O$7*O$6)*5</t>
        </r>
      </text>
    </comment>
  </commentList>
</comments>
</file>

<file path=xl/sharedStrings.xml><?xml version="1.0" encoding="utf-8"?>
<sst xmlns="http://schemas.openxmlformats.org/spreadsheetml/2006/main" count="506" uniqueCount="205">
  <si>
    <t>Flight Cost</t>
  </si>
  <si>
    <t>Ski Town</t>
  </si>
  <si>
    <t>Vertical</t>
  </si>
  <si>
    <t>Skiable Acres</t>
  </si>
  <si>
    <t>Boston</t>
  </si>
  <si>
    <t>NYC</t>
  </si>
  <si>
    <t>Miami</t>
  </si>
  <si>
    <t>San Francisco</t>
  </si>
  <si>
    <t>Denver</t>
  </si>
  <si>
    <t>Chicago</t>
  </si>
  <si>
    <t>San Diego</t>
  </si>
  <si>
    <t>Houston</t>
  </si>
  <si>
    <t>Nightlife</t>
  </si>
  <si>
    <t>Heliskiing Available Nearby?</t>
  </si>
  <si>
    <t>Park City Mountain - UT</t>
  </si>
  <si>
    <t>Jackson Hole - WY</t>
  </si>
  <si>
    <t>No</t>
  </si>
  <si>
    <t>Yes - www.heliskijackson.com</t>
  </si>
  <si>
    <t>Vail - CO</t>
  </si>
  <si>
    <t>No - only if you take a charter flight to Telluride</t>
  </si>
  <si>
    <t>Whistler - BC</t>
  </si>
  <si>
    <t>Banff - CAL</t>
  </si>
  <si>
    <t>Killington - VT</t>
  </si>
  <si>
    <t>Sunday River - ME</t>
  </si>
  <si>
    <t>Sun Valley - ID</t>
  </si>
  <si>
    <t>Big Sky - MT</t>
  </si>
  <si>
    <t>Aspen - CO</t>
  </si>
  <si>
    <t>Yes - www.aspenhelicopterskiing.com</t>
  </si>
  <si>
    <t xml:space="preserve">% Advanced </t>
  </si>
  <si>
    <t>RESORT</t>
  </si>
  <si>
    <t>2 people per room</t>
  </si>
  <si>
    <t>Convenience of Hotel</t>
  </si>
  <si>
    <t>Gambling</t>
  </si>
  <si>
    <t>Squaw Valley - CA</t>
  </si>
  <si>
    <t>Heavenly - CA</t>
  </si>
  <si>
    <t>1/20/08 - 1/28/08</t>
  </si>
  <si>
    <t>Yes - $1100/day with Epiquest (http://www.epicquest.com/trips/snow/rockies/sun-valley/day-heli-skiing/)</t>
  </si>
  <si>
    <t>Yes - $900/day with Pacific Cresit Heli Guides (http://www.pacificcrestheliguides.com/rates.html)</t>
  </si>
  <si>
    <t>Yes - http://powderbird.com</t>
  </si>
  <si>
    <t>Name</t>
  </si>
  <si>
    <t>Tahoe Vistana Inn</t>
  </si>
  <si>
    <t>Reviewer Score</t>
  </si>
  <si>
    <t>Village at Squaw Valley</t>
  </si>
  <si>
    <t>The Ritz-Carlton Highlands, Lake Tahoe</t>
  </si>
  <si>
    <t>Timber Wolf Lodge by ResortQuest</t>
  </si>
  <si>
    <t>Westgate Park City Resort &amp; Spa</t>
  </si>
  <si>
    <t>Waldorf Astoria Park City</t>
  </si>
  <si>
    <t>Clarion Inn of Sun Valley</t>
  </si>
  <si>
    <t>Sun Valley Lodge</t>
  </si>
  <si>
    <t>Snowmobiling?</t>
  </si>
  <si>
    <t>Yes - $115/hour (http://www.rockymtnrec.com/snowmobile.php)</t>
  </si>
  <si>
    <t>Yes - $80/hr for minimum 2 hr tour (http://www.laketahoesnowmobilingtours.com/Rates/default.htm)</t>
  </si>
  <si>
    <t>Yes - $65/hr for 2 hour minimum (http://sunvalley-idaho.com/attractions.html)</t>
  </si>
  <si>
    <t>Four Seasons Vail</t>
  </si>
  <si>
    <t>Vail Cascade Resort &amp; Spa</t>
  </si>
  <si>
    <t>Christiania at Vail</t>
  </si>
  <si>
    <t>Hilton Whistler - Resort &amp; Spa</t>
  </si>
  <si>
    <t>Four Seasons Whistler</t>
  </si>
  <si>
    <t>ResortQuest Rentals at Market Pavilion</t>
  </si>
  <si>
    <t>Average</t>
  </si>
  <si>
    <t>Delta Banff Royal Canadian Lodge</t>
  </si>
  <si>
    <t>Ptarmigan Inn</t>
  </si>
  <si>
    <t>Banff - ALB</t>
  </si>
  <si>
    <t>The Fairmont Banff Springs</t>
  </si>
  <si>
    <t>Yes $815 / 3 runs with Whistler Heliskiing (http://www.whistlerheliskiing.com/)</t>
  </si>
  <si>
    <t>Yes - $730 / 3 runs with Purcell Heliskiing (http://www.purcellhelicopterskiing.com/)</t>
  </si>
  <si>
    <t>Yes - $65/hr ($130 for 2 hours) (http://www.snowmobilevail.com/snowmobile-tours-vail-pass-beaver-creek-snowmobile-rental.html)</t>
  </si>
  <si>
    <t>Yes - $50/hr ($149 for 3 hours) (http://www.whistlerblackcomb.com/reservations/mg_117/Snowmobiling.search)</t>
  </si>
  <si>
    <t>Yes - $66/hr ($199 for 3 hours) (http://www.banffadventures.com/snowmobile.html)</t>
  </si>
  <si>
    <t>Inn at Jackson Hole</t>
  </si>
  <si>
    <t>Y</t>
  </si>
  <si>
    <t>N</t>
  </si>
  <si>
    <t>Snake River Lodge &amp; Spa</t>
  </si>
  <si>
    <t>Four Seasons Jackson Hole</t>
  </si>
  <si>
    <t>River Rock Lodge</t>
  </si>
  <si>
    <t>Summit Hotel</t>
  </si>
  <si>
    <t>Hotel Aspen</t>
  </si>
  <si>
    <t>The Gant - Destination Hotels</t>
  </si>
  <si>
    <t>Residences at The Little Nell</t>
  </si>
  <si>
    <t>3 Peaks Resort and Beach Club</t>
  </si>
  <si>
    <t>Harrah's Lake Tahoe</t>
  </si>
  <si>
    <t>Grand Residences by Marriott</t>
  </si>
  <si>
    <t>Victoria Inn B&amp;B</t>
  </si>
  <si>
    <t>Aston Sun Valley</t>
  </si>
  <si>
    <t>Town &amp; Country Motor Inn Gorham</t>
  </si>
  <si>
    <t>Snow Amt (inches)</t>
  </si>
  <si>
    <t>Skiing Quality</t>
  </si>
  <si>
    <t>Skiing Difficulty</t>
  </si>
  <si>
    <t>Max Value</t>
  </si>
  <si>
    <t>(1-5)</t>
  </si>
  <si>
    <t>Weight</t>
  </si>
  <si>
    <t># of Bars</t>
  </si>
  <si>
    <t>Reno</t>
  </si>
  <si>
    <t>Salt Lake City</t>
  </si>
  <si>
    <t>Jackson Hole</t>
  </si>
  <si>
    <t>Eagle County</t>
  </si>
  <si>
    <t>Vancouver Int'l</t>
  </si>
  <si>
    <t>Calgary Int'l</t>
  </si>
  <si>
    <t>Manchester</t>
  </si>
  <si>
    <t xml:space="preserve">Portland </t>
  </si>
  <si>
    <t>Hailey</t>
  </si>
  <si>
    <t>Big Sky</t>
  </si>
  <si>
    <t>Aspen</t>
  </si>
  <si>
    <t>Gas Price</t>
  </si>
  <si>
    <t>=</t>
  </si>
  <si>
    <t>MPG</t>
  </si>
  <si>
    <t>Drivable Distance - Reflects Driving Cost</t>
  </si>
  <si>
    <t>Rental Car Cost</t>
  </si>
  <si>
    <t>People per car</t>
  </si>
  <si>
    <t>Red Roof Inn Rutland</t>
  </si>
  <si>
    <t>North Star Lodge</t>
  </si>
  <si>
    <t>Woodstock Inn and Resort</t>
  </si>
  <si>
    <t>Quality of Hotel</t>
  </si>
  <si>
    <t>Hotel Quality</t>
  </si>
  <si>
    <t>Rating</t>
  </si>
  <si>
    <t># Stars</t>
  </si>
  <si>
    <t>The River Grande Resort</t>
  </si>
  <si>
    <t>Big Sky Baller Lounge</t>
  </si>
  <si>
    <t># of Days</t>
  </si>
  <si>
    <t>Total Flight Plus Ground Transport / Parking</t>
  </si>
  <si>
    <t>Quality of Skiing Metrics</t>
  </si>
  <si>
    <t>Mtns Nearby</t>
  </si>
  <si>
    <t>Ski Vacation - Resort Qualitative Data</t>
  </si>
  <si>
    <t xml:space="preserve"> Closest Airport</t>
  </si>
  <si>
    <t>Ground Transport / Parking Cost</t>
  </si>
  <si>
    <t>Lift Tickets</t>
  </si>
  <si>
    <t>Assumes 1/20-1/28</t>
  </si>
  <si>
    <t>Ski Vacation - Transportation Cost Data</t>
  </si>
  <si>
    <t>Includes Flights, Driving Costs, Rental Car Costs</t>
  </si>
  <si>
    <t>Flight Data from Kayak - Reflects Cheapest Flight - One Stop Max</t>
  </si>
  <si>
    <t>Distance Data</t>
  </si>
  <si>
    <t>Max Driving Distance</t>
  </si>
  <si>
    <t>Choose This Hotel</t>
  </si>
  <si>
    <t>Y=1, N=0</t>
  </si>
  <si>
    <t>Total Hotels Chosen</t>
  </si>
  <si>
    <t>Total Number of People</t>
  </si>
  <si>
    <t>Friend in</t>
  </si>
  <si>
    <t>Hotel Chosen:</t>
  </si>
  <si>
    <t>Distance from Mountain Base</t>
  </si>
  <si>
    <t>Ski Vacation - Hotel Info</t>
  </si>
  <si>
    <t>Hotel Info on Orbitz - 3,4,5 star hotels from each resort</t>
  </si>
  <si>
    <t>3 points</t>
  </si>
  <si>
    <t>2 points</t>
  </si>
  <si>
    <t>1 point</t>
  </si>
  <si>
    <t>All others</t>
  </si>
  <si>
    <t>to</t>
  </si>
  <si>
    <t>Yes</t>
  </si>
  <si>
    <t>Can you walk</t>
  </si>
  <si>
    <t>Can you take the Shuttle</t>
  </si>
  <si>
    <t>Convenience Rating Methodology (Max 5 stars)</t>
  </si>
  <si>
    <t>Hotel Info:</t>
  </si>
  <si>
    <t>Taxes &amp; Fees</t>
  </si>
  <si>
    <t>Quality</t>
  </si>
  <si>
    <t>Convenience</t>
  </si>
  <si>
    <t>Shuttle?</t>
  </si>
  <si>
    <t>Walk?</t>
  </si>
  <si>
    <t>Distance</t>
  </si>
  <si>
    <t>Room Rate</t>
  </si>
  <si>
    <t>Hotel Convenience</t>
  </si>
  <si>
    <t>Assumptions:</t>
  </si>
  <si>
    <t>Mountain Chosen:</t>
  </si>
  <si>
    <t>Mountain Info:</t>
  </si>
  <si>
    <t>Qualitative Info</t>
  </si>
  <si>
    <t>Cost Info</t>
  </si>
  <si>
    <t>Key Questions:</t>
  </si>
  <si>
    <t>Ski Vacation - Model Summary</t>
  </si>
  <si>
    <t>Base Weekly Room Rate</t>
  </si>
  <si>
    <t>Total Weekly Room Cost Per Person</t>
  </si>
  <si>
    <t>Days of Skiing Wanted</t>
  </si>
  <si>
    <t>Personal Preferences:</t>
  </si>
  <si>
    <t>Skiing Cost</t>
  </si>
  <si>
    <t>Food Cost</t>
  </si>
  <si>
    <t>Total Cost</t>
  </si>
  <si>
    <t>Hotel Cost</t>
  </si>
  <si>
    <t>Max Trip Budget</t>
  </si>
  <si>
    <t>Total Number of Cars needed</t>
  </si>
  <si>
    <t>Number of People Driving</t>
  </si>
  <si>
    <t>Rental Cars Needed</t>
  </si>
  <si>
    <t>Flight / Ground Transport Cost</t>
  </si>
  <si>
    <t>Driving to Mountain?</t>
  </si>
  <si>
    <t>Lookup Indicator</t>
  </si>
  <si>
    <t># of Non Drivers</t>
  </si>
  <si>
    <t>Rental Car Cost per Person</t>
  </si>
  <si>
    <t>Flight Cost Lookup #</t>
  </si>
  <si>
    <t>Driving Lookup #</t>
  </si>
  <si>
    <t>Gear Rental Cost</t>
  </si>
  <si>
    <t>Ski / Snowboard Gear Rental Cost</t>
  </si>
  <si>
    <t>Renting Gear</t>
  </si>
  <si>
    <t>Personal Preferences Variation:</t>
  </si>
  <si>
    <t>Variation</t>
  </si>
  <si>
    <t>Maximum</t>
  </si>
  <si>
    <t>1 = Yes, 0 = No</t>
  </si>
  <si>
    <t>Vlookup function</t>
  </si>
  <si>
    <t>Max Hotels Chosen</t>
  </si>
  <si>
    <t>Hotel Name</t>
  </si>
  <si>
    <t>Hotel Index #</t>
  </si>
  <si>
    <t>Taxes</t>
  </si>
  <si>
    <t>Lift Ticket Cost</t>
  </si>
  <si>
    <t>Mountain</t>
  </si>
  <si>
    <t>no</t>
  </si>
  <si>
    <t>yes</t>
  </si>
  <si>
    <t>Food  and Drink Cost Per day</t>
  </si>
  <si>
    <t>Exceeds budget?</t>
  </si>
  <si>
    <t>Skiing Difficulty Metrics</t>
  </si>
  <si>
    <t>Objective Function</t>
  </si>
</sst>
</file>

<file path=xl/styles.xml><?xml version="1.0" encoding="utf-8"?>
<styleSheet xmlns="http://schemas.openxmlformats.org/spreadsheetml/2006/main">
  <numFmts count="12">
    <numFmt numFmtId="5" formatCode="&quot;$&quot;#,##0_);\(&quot;$&quot;#,##0\)"/>
    <numFmt numFmtId="6" formatCode="&quot;$&quot;#,##0_);[Red]\(&quot;$&quot;#,##0\)"/>
    <numFmt numFmtId="44" formatCode="_(&quot;$&quot;* #,##0.00_);_(&quot;$&quot;* \(#,##0.00\);_(&quot;$&quot;* &quot;-&quot;??_);_(@_)"/>
    <numFmt numFmtId="164" formatCode="#,##0.0_);\(#,##0.0\)"/>
    <numFmt numFmtId="165" formatCode="0.0"/>
    <numFmt numFmtId="166" formatCode="&quot;$&quot;#,##0.00"/>
    <numFmt numFmtId="167" formatCode="#&quot; Star&quot;"/>
    <numFmt numFmtId="168" formatCode="&quot;$&quot;#,##0"/>
    <numFmt numFmtId="169" formatCode="&quot;&lt; &quot;#\ &quot;Mile&quot;"/>
    <numFmt numFmtId="170" formatCode="#&quot; Mile&quot;"/>
    <numFmt numFmtId="171" formatCode="#&quot; Miles&quot;"/>
    <numFmt numFmtId="172" formatCode="#,##0.0"/>
  </numFmts>
  <fonts count="1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 val="singleAccounting"/>
      <sz val="11"/>
      <color theme="1"/>
      <name val="Calibri"/>
      <family val="2"/>
      <scheme val="minor"/>
    </font>
    <font>
      <sz val="11"/>
      <color rgb="FF0033CC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i/>
      <sz val="11"/>
      <color theme="1"/>
      <name val="Calibri"/>
      <family val="2"/>
      <scheme val="minor"/>
    </font>
    <font>
      <sz val="11"/>
      <color theme="0" tint="-4.9989318521683403E-2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name val="Calibri"/>
      <family val="2"/>
      <scheme val="minor"/>
    </font>
    <font>
      <sz val="11"/>
      <color theme="1"/>
      <name val="Calibri"/>
      <family val="2"/>
    </font>
    <font>
      <b/>
      <sz val="10"/>
      <color indexed="8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rgb="FF0033CC"/>
      </left>
      <right style="thick">
        <color rgb="FF0033CC"/>
      </right>
      <top style="thick">
        <color rgb="FF0033CC"/>
      </top>
      <bottom/>
      <diagonal/>
    </border>
    <border>
      <left style="thick">
        <color rgb="FF0033CC"/>
      </left>
      <right style="thick">
        <color rgb="FF0033CC"/>
      </right>
      <top/>
      <bottom/>
      <diagonal/>
    </border>
    <border>
      <left style="thick">
        <color rgb="FF0033CC"/>
      </left>
      <right style="thick">
        <color rgb="FF0033CC"/>
      </right>
      <top/>
      <bottom style="thick">
        <color rgb="FF0033CC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136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/>
    <xf numFmtId="0" fontId="0" fillId="0" borderId="2" xfId="0" applyBorder="1"/>
    <xf numFmtId="0" fontId="0" fillId="0" borderId="3" xfId="0" applyBorder="1"/>
    <xf numFmtId="0" fontId="0" fillId="0" borderId="0" xfId="0" applyAlignment="1">
      <alignment horizontal="left"/>
    </xf>
    <xf numFmtId="0" fontId="1" fillId="0" borderId="0" xfId="0" applyFont="1" applyAlignment="1">
      <alignment horizontal="center"/>
    </xf>
    <xf numFmtId="9" fontId="0" fillId="0" borderId="0" xfId="0" applyNumberFormat="1" applyAlignment="1">
      <alignment horizontal="center"/>
    </xf>
    <xf numFmtId="0" fontId="0" fillId="0" borderId="0" xfId="0" applyFont="1" applyAlignment="1">
      <alignment horizontal="center"/>
    </xf>
    <xf numFmtId="44" fontId="5" fillId="0" borderId="0" xfId="0" applyNumberFormat="1" applyFont="1" applyAlignment="1">
      <alignment horizontal="centerContinuous"/>
    </xf>
    <xf numFmtId="164" fontId="0" fillId="0" borderId="0" xfId="0" applyNumberFormat="1" applyAlignment="1">
      <alignment horizontal="center"/>
    </xf>
    <xf numFmtId="37" fontId="0" fillId="0" borderId="0" xfId="0" applyNumberFormat="1" applyAlignment="1">
      <alignment horizontal="center"/>
    </xf>
    <xf numFmtId="44" fontId="5" fillId="0" borderId="0" xfId="0" applyNumberFormat="1" applyFont="1" applyAlignment="1">
      <alignment horizontal="center"/>
    </xf>
    <xf numFmtId="0" fontId="2" fillId="3" borderId="4" xfId="0" applyFont="1" applyFill="1" applyBorder="1" applyAlignment="1">
      <alignment horizontal="center"/>
    </xf>
    <xf numFmtId="165" fontId="0" fillId="3" borderId="5" xfId="0" applyNumberFormat="1" applyFill="1" applyBorder="1" applyAlignment="1">
      <alignment horizontal="center"/>
    </xf>
    <xf numFmtId="165" fontId="0" fillId="3" borderId="6" xfId="0" applyNumberForma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2" fillId="0" borderId="0" xfId="0" applyFont="1" applyFill="1" applyBorder="1" applyAlignment="1">
      <alignment horizontal="center"/>
    </xf>
    <xf numFmtId="165" fontId="0" fillId="0" borderId="0" xfId="0" applyNumberFormat="1" applyFill="1" applyBorder="1" applyAlignment="1">
      <alignment horizontal="center"/>
    </xf>
    <xf numFmtId="0" fontId="5" fillId="0" borderId="0" xfId="0" applyNumberFormat="1" applyFont="1" applyAlignment="1">
      <alignment horizontal="center"/>
    </xf>
    <xf numFmtId="6" fontId="0" fillId="0" borderId="0" xfId="0" applyNumberFormat="1" applyAlignment="1">
      <alignment horizontal="center"/>
    </xf>
    <xf numFmtId="0" fontId="0" fillId="2" borderId="0" xfId="0" applyFill="1" applyAlignment="1">
      <alignment horizontal="center"/>
    </xf>
    <xf numFmtId="166" fontId="0" fillId="0" borderId="0" xfId="0" applyNumberFormat="1" applyAlignment="1">
      <alignment horizontal="left" indent="1"/>
    </xf>
    <xf numFmtId="167" fontId="0" fillId="0" borderId="0" xfId="0" applyNumberFormat="1" applyAlignment="1">
      <alignment horizontal="center"/>
    </xf>
    <xf numFmtId="165" fontId="0" fillId="0" borderId="0" xfId="0" applyNumberFormat="1"/>
    <xf numFmtId="0" fontId="0" fillId="0" borderId="0" xfId="0" applyAlignment="1">
      <alignment horizontal="centerContinuous"/>
    </xf>
    <xf numFmtId="0" fontId="1" fillId="0" borderId="0" xfId="0" applyFont="1" applyAlignment="1">
      <alignment horizontal="centerContinuous"/>
    </xf>
    <xf numFmtId="168" fontId="0" fillId="0" borderId="0" xfId="0" applyNumberFormat="1" applyFont="1" applyAlignment="1">
      <alignment horizontal="center"/>
    </xf>
    <xf numFmtId="1" fontId="6" fillId="0" borderId="0" xfId="0" applyNumberFormat="1" applyFont="1" applyAlignment="1">
      <alignment horizontal="center"/>
    </xf>
    <xf numFmtId="165" fontId="6" fillId="0" borderId="0" xfId="0" applyNumberFormat="1" applyFont="1" applyAlignment="1">
      <alignment horizontal="center"/>
    </xf>
    <xf numFmtId="9" fontId="6" fillId="0" borderId="0" xfId="0" applyNumberFormat="1" applyFont="1" applyAlignment="1">
      <alignment horizontal="center"/>
    </xf>
    <xf numFmtId="0" fontId="0" fillId="0" borderId="0" xfId="0" applyFill="1" applyAlignment="1"/>
    <xf numFmtId="44" fontId="5" fillId="0" borderId="0" xfId="0" applyNumberFormat="1" applyFont="1" applyFill="1" applyAlignment="1"/>
    <xf numFmtId="0" fontId="2" fillId="0" borderId="0" xfId="0" applyFont="1" applyFill="1" applyBorder="1" applyAlignment="1"/>
    <xf numFmtId="165" fontId="0" fillId="0" borderId="0" xfId="0" applyNumberFormat="1" applyFill="1" applyBorder="1" applyAlignment="1"/>
    <xf numFmtId="0" fontId="1" fillId="0" borderId="0" xfId="0" applyFont="1" applyAlignment="1">
      <alignment horizontal="right"/>
    </xf>
    <xf numFmtId="0" fontId="7" fillId="0" borderId="0" xfId="0" applyFont="1"/>
    <xf numFmtId="0" fontId="6" fillId="0" borderId="0" xfId="0" applyFont="1" applyBorder="1" applyAlignment="1">
      <alignment horizontal="center"/>
    </xf>
    <xf numFmtId="0" fontId="1" fillId="4" borderId="1" xfId="0" applyFont="1" applyFill="1" applyBorder="1" applyAlignment="1">
      <alignment horizontal="centerContinuous"/>
    </xf>
    <xf numFmtId="0" fontId="1" fillId="4" borderId="2" xfId="0" applyFont="1" applyFill="1" applyBorder="1" applyAlignment="1">
      <alignment horizontal="centerContinuous"/>
    </xf>
    <xf numFmtId="0" fontId="1" fillId="4" borderId="3" xfId="0" applyFont="1" applyFill="1" applyBorder="1" applyAlignment="1">
      <alignment horizontal="centerContinuous"/>
    </xf>
    <xf numFmtId="168" fontId="6" fillId="0" borderId="0" xfId="0" applyNumberFormat="1" applyFont="1" applyAlignment="1">
      <alignment horizontal="center"/>
    </xf>
    <xf numFmtId="166" fontId="6" fillId="0" borderId="0" xfId="0" applyNumberFormat="1" applyFont="1" applyAlignment="1">
      <alignment horizontal="center"/>
    </xf>
    <xf numFmtId="3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6" fontId="6" fillId="0" borderId="0" xfId="0" applyNumberFormat="1" applyFont="1" applyAlignment="1">
      <alignment horizontal="center"/>
    </xf>
    <xf numFmtId="6" fontId="0" fillId="0" borderId="0" xfId="0" applyNumberFormat="1" applyFont="1" applyAlignment="1">
      <alignment horizontal="center"/>
    </xf>
    <xf numFmtId="0" fontId="6" fillId="0" borderId="0" xfId="0" applyFont="1"/>
    <xf numFmtId="0" fontId="6" fillId="0" borderId="0" xfId="0" applyFont="1" applyFill="1" applyBorder="1"/>
    <xf numFmtId="5" fontId="6" fillId="0" borderId="0" xfId="1" applyNumberFormat="1" applyFont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Fill="1"/>
    <xf numFmtId="0" fontId="0" fillId="0" borderId="0" xfId="0" applyFill="1" applyAlignment="1">
      <alignment horizontal="left"/>
    </xf>
    <xf numFmtId="167" fontId="0" fillId="0" borderId="0" xfId="0" applyNumberFormat="1" applyFill="1" applyAlignment="1">
      <alignment horizontal="center"/>
    </xf>
    <xf numFmtId="5" fontId="6" fillId="0" borderId="0" xfId="1" applyNumberFormat="1" applyFont="1" applyFill="1" applyAlignment="1">
      <alignment horizontal="center"/>
    </xf>
    <xf numFmtId="0" fontId="6" fillId="0" borderId="0" xfId="0" applyFont="1" applyFill="1" applyAlignment="1">
      <alignment horizontal="center"/>
    </xf>
    <xf numFmtId="165" fontId="6" fillId="0" borderId="0" xfId="0" applyNumberFormat="1" applyFont="1" applyFill="1" applyAlignment="1">
      <alignment horizontal="center"/>
    </xf>
    <xf numFmtId="0" fontId="3" fillId="0" borderId="0" xfId="0" applyFont="1" applyFill="1"/>
    <xf numFmtId="0" fontId="0" fillId="0" borderId="0" xfId="0" applyFont="1" applyFill="1"/>
    <xf numFmtId="0" fontId="0" fillId="0" borderId="0" xfId="0" applyFont="1" applyFill="1" applyAlignment="1">
      <alignment horizontal="left" indent="2"/>
    </xf>
    <xf numFmtId="169" fontId="0" fillId="0" borderId="0" xfId="0" applyNumberFormat="1" applyFont="1" applyFill="1" applyAlignment="1">
      <alignment horizontal="center"/>
    </xf>
    <xf numFmtId="170" fontId="0" fillId="0" borderId="0" xfId="0" applyNumberFormat="1" applyFont="1" applyFill="1" applyAlignment="1">
      <alignment horizontal="center"/>
    </xf>
    <xf numFmtId="171" fontId="0" fillId="0" borderId="0" xfId="0" applyNumberFormat="1" applyFont="1" applyFill="1" applyAlignment="1">
      <alignment horizontal="center"/>
    </xf>
    <xf numFmtId="0" fontId="0" fillId="0" borderId="0" xfId="0" applyFill="1" applyAlignment="1">
      <alignment horizontal="left" indent="2"/>
    </xf>
    <xf numFmtId="170" fontId="0" fillId="0" borderId="0" xfId="0" applyNumberFormat="1" applyFill="1" applyAlignment="1">
      <alignment horizontal="center"/>
    </xf>
    <xf numFmtId="0" fontId="2" fillId="0" borderId="0" xfId="0" applyFont="1" applyFill="1"/>
    <xf numFmtId="1" fontId="11" fillId="0" borderId="0" xfId="0" applyNumberFormat="1" applyFont="1" applyAlignment="1">
      <alignment horizontal="center"/>
    </xf>
    <xf numFmtId="0" fontId="10" fillId="0" borderId="0" xfId="0" applyFont="1"/>
    <xf numFmtId="0" fontId="0" fillId="0" borderId="0" xfId="0" applyAlignment="1">
      <alignment horizontal="left" indent="1"/>
    </xf>
    <xf numFmtId="0" fontId="1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165" fontId="6" fillId="3" borderId="5" xfId="0" applyNumberFormat="1" applyFont="1" applyFill="1" applyBorder="1" applyAlignment="1">
      <alignment horizontal="center"/>
    </xf>
    <xf numFmtId="165" fontId="6" fillId="3" borderId="6" xfId="0" applyNumberFormat="1" applyFont="1" applyFill="1" applyBorder="1" applyAlignment="1">
      <alignment horizontal="center"/>
    </xf>
    <xf numFmtId="0" fontId="1" fillId="0" borderId="0" xfId="0" applyFont="1" applyBorder="1"/>
    <xf numFmtId="0" fontId="0" fillId="0" borderId="0" xfId="0" applyBorder="1"/>
    <xf numFmtId="0" fontId="2" fillId="0" borderId="0" xfId="0" applyFont="1" applyBorder="1"/>
    <xf numFmtId="0" fontId="10" fillId="0" borderId="0" xfId="0" applyFont="1" applyBorder="1"/>
    <xf numFmtId="0" fontId="0" fillId="0" borderId="0" xfId="0" applyBorder="1" applyAlignment="1">
      <alignment horizontal="left" indent="1"/>
    </xf>
    <xf numFmtId="168" fontId="12" fillId="0" borderId="0" xfId="0" applyNumberFormat="1" applyFont="1" applyBorder="1"/>
    <xf numFmtId="165" fontId="0" fillId="0" borderId="0" xfId="0" applyNumberFormat="1" applyBorder="1"/>
    <xf numFmtId="1" fontId="11" fillId="0" borderId="0" xfId="0" applyNumberFormat="1" applyFont="1" applyBorder="1" applyAlignment="1">
      <alignment horizontal="center"/>
    </xf>
    <xf numFmtId="0" fontId="1" fillId="0" borderId="0" xfId="0" applyFont="1" applyFill="1" applyBorder="1" applyAlignment="1"/>
    <xf numFmtId="0" fontId="2" fillId="0" borderId="0" xfId="0" applyFont="1" applyFill="1" applyAlignment="1"/>
    <xf numFmtId="168" fontId="0" fillId="0" borderId="0" xfId="0" applyNumberFormat="1" applyFont="1" applyFill="1" applyAlignment="1"/>
    <xf numFmtId="168" fontId="6" fillId="0" borderId="0" xfId="0" applyNumberFormat="1" applyFont="1" applyFill="1" applyAlignment="1"/>
    <xf numFmtId="0" fontId="1" fillId="0" borderId="0" xfId="0" applyFont="1" applyFill="1" applyAlignment="1"/>
    <xf numFmtId="3" fontId="6" fillId="0" borderId="0" xfId="0" applyNumberFormat="1" applyFont="1" applyFill="1" applyAlignment="1"/>
    <xf numFmtId="168" fontId="0" fillId="0" borderId="0" xfId="0" applyNumberFormat="1" applyAlignment="1">
      <alignment horizontal="center"/>
    </xf>
    <xf numFmtId="0" fontId="0" fillId="0" borderId="0" xfId="0" applyAlignment="1">
      <alignment horizontal="left" indent="2"/>
    </xf>
    <xf numFmtId="168" fontId="0" fillId="0" borderId="0" xfId="0" applyNumberFormat="1" applyAlignment="1">
      <alignment horizontal="right"/>
    </xf>
    <xf numFmtId="168" fontId="1" fillId="0" borderId="0" xfId="0" applyNumberFormat="1" applyFont="1" applyAlignment="1">
      <alignment horizontal="center"/>
    </xf>
    <xf numFmtId="1" fontId="13" fillId="0" borderId="0" xfId="0" applyNumberFormat="1" applyFont="1" applyBorder="1" applyAlignment="1">
      <alignment horizontal="center"/>
    </xf>
    <xf numFmtId="1" fontId="0" fillId="0" borderId="0" xfId="0" applyNumberFormat="1" applyAlignment="1">
      <alignment horizontal="center"/>
    </xf>
    <xf numFmtId="0" fontId="10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8" fontId="1" fillId="0" borderId="0" xfId="0" applyNumberFormat="1" applyFont="1" applyFill="1" applyBorder="1"/>
    <xf numFmtId="0" fontId="7" fillId="0" borderId="0" xfId="0" applyFont="1" applyAlignment="1">
      <alignment horizontal="center"/>
    </xf>
    <xf numFmtId="0" fontId="6" fillId="0" borderId="0" xfId="0" applyFont="1" applyFill="1" applyBorder="1" applyAlignment="1">
      <alignment horizontal="center"/>
    </xf>
    <xf numFmtId="172" fontId="0" fillId="0" borderId="0" xfId="0" applyNumberFormat="1" applyFont="1" applyAlignment="1">
      <alignment horizontal="center"/>
    </xf>
    <xf numFmtId="172" fontId="13" fillId="0" borderId="0" xfId="0" applyNumberFormat="1" applyFont="1" applyAlignment="1">
      <alignment horizontal="center"/>
    </xf>
    <xf numFmtId="0" fontId="13" fillId="0" borderId="0" xfId="0" applyFont="1" applyAlignment="1">
      <alignment horizontal="center"/>
    </xf>
    <xf numFmtId="0" fontId="13" fillId="0" borderId="0" xfId="0" applyFont="1" applyFill="1" applyBorder="1" applyAlignment="1">
      <alignment horizontal="center"/>
    </xf>
    <xf numFmtId="0" fontId="14" fillId="0" borderId="0" xfId="0" applyFont="1" applyAlignment="1">
      <alignment horizontal="center"/>
    </xf>
    <xf numFmtId="168" fontId="13" fillId="0" borderId="0" xfId="0" applyNumberFormat="1" applyFont="1" applyAlignment="1">
      <alignment horizontal="center"/>
    </xf>
    <xf numFmtId="37" fontId="6" fillId="0" borderId="15" xfId="0" applyNumberFormat="1" applyFont="1" applyBorder="1" applyAlignment="1">
      <alignment horizontal="center"/>
    </xf>
    <xf numFmtId="37" fontId="6" fillId="0" borderId="16" xfId="0" applyNumberFormat="1" applyFont="1" applyBorder="1" applyAlignment="1">
      <alignment horizontal="center"/>
    </xf>
    <xf numFmtId="37" fontId="6" fillId="0" borderId="17" xfId="0" applyNumberFormat="1" applyFont="1" applyBorder="1" applyAlignment="1">
      <alignment horizontal="center"/>
    </xf>
    <xf numFmtId="0" fontId="15" fillId="0" borderId="0" xfId="0" applyFont="1" applyAlignment="1">
      <alignment horizontal="center"/>
    </xf>
    <xf numFmtId="0" fontId="0" fillId="0" borderId="0" xfId="0" quotePrefix="1" applyAlignment="1">
      <alignment horizontal="center"/>
    </xf>
    <xf numFmtId="1" fontId="0" fillId="0" borderId="18" xfId="0" applyNumberFormat="1" applyBorder="1" applyAlignment="1">
      <alignment horizontal="center"/>
    </xf>
    <xf numFmtId="0" fontId="6" fillId="5" borderId="7" xfId="0" applyFont="1" applyFill="1" applyBorder="1" applyAlignment="1">
      <alignment horizontal="center"/>
    </xf>
    <xf numFmtId="0" fontId="6" fillId="5" borderId="8" xfId="0" applyFont="1" applyFill="1" applyBorder="1" applyAlignment="1">
      <alignment horizontal="center"/>
    </xf>
    <xf numFmtId="0" fontId="6" fillId="5" borderId="9" xfId="0" applyFont="1" applyFill="1" applyBorder="1" applyAlignment="1">
      <alignment horizontal="center"/>
    </xf>
    <xf numFmtId="0" fontId="6" fillId="5" borderId="10" xfId="0" applyFont="1" applyFill="1" applyBorder="1" applyAlignment="1">
      <alignment horizontal="center"/>
    </xf>
    <xf numFmtId="0" fontId="6" fillId="5" borderId="0" xfId="0" applyFont="1" applyFill="1" applyBorder="1" applyAlignment="1">
      <alignment horizontal="center"/>
    </xf>
    <xf numFmtId="0" fontId="6" fillId="5" borderId="11" xfId="0" applyFont="1" applyFill="1" applyBorder="1" applyAlignment="1">
      <alignment horizontal="center"/>
    </xf>
    <xf numFmtId="0" fontId="6" fillId="5" borderId="12" xfId="0" applyFont="1" applyFill="1" applyBorder="1" applyAlignment="1">
      <alignment horizontal="center"/>
    </xf>
    <xf numFmtId="0" fontId="6" fillId="5" borderId="13" xfId="0" applyFont="1" applyFill="1" applyBorder="1" applyAlignment="1">
      <alignment horizontal="center"/>
    </xf>
    <xf numFmtId="0" fontId="6" fillId="5" borderId="14" xfId="0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6" fillId="5" borderId="2" xfId="0" applyFont="1" applyFill="1" applyBorder="1" applyAlignment="1">
      <alignment horizontal="center"/>
    </xf>
    <xf numFmtId="0" fontId="6" fillId="5" borderId="3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1" fillId="5" borderId="2" xfId="0" applyFont="1" applyFill="1" applyBorder="1" applyAlignment="1">
      <alignment horizontal="center"/>
    </xf>
    <xf numFmtId="0" fontId="1" fillId="5" borderId="3" xfId="0" applyFont="1" applyFill="1" applyBorder="1" applyAlignment="1">
      <alignment horizontal="center"/>
    </xf>
    <xf numFmtId="5" fontId="6" fillId="5" borderId="1" xfId="0" applyNumberFormat="1" applyFont="1" applyFill="1" applyBorder="1" applyAlignment="1">
      <alignment horizontal="center"/>
    </xf>
    <xf numFmtId="5" fontId="6" fillId="5" borderId="2" xfId="0" applyNumberFormat="1" applyFont="1" applyFill="1" applyBorder="1" applyAlignment="1">
      <alignment horizontal="center"/>
    </xf>
    <xf numFmtId="5" fontId="6" fillId="5" borderId="3" xfId="0" applyNumberFormat="1" applyFont="1" applyFill="1" applyBorder="1" applyAlignment="1">
      <alignment horizontal="center"/>
    </xf>
    <xf numFmtId="0" fontId="0" fillId="0" borderId="0" xfId="0" applyNumberFormat="1" applyFont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0" fillId="0" borderId="19" xfId="0" applyBorder="1" applyAlignment="1">
      <alignment horizontal="right"/>
    </xf>
    <xf numFmtId="0" fontId="13" fillId="0" borderId="0" xfId="0" applyFont="1" applyFill="1" applyAlignment="1">
      <alignment horizontal="center"/>
    </xf>
    <xf numFmtId="168" fontId="0" fillId="0" borderId="0" xfId="0" applyNumberFormat="1" applyFill="1" applyAlignment="1">
      <alignment horizontal="center"/>
    </xf>
  </cellXfs>
  <cellStyles count="2">
    <cellStyle name="Currency" xfId="1" builtinId="4"/>
    <cellStyle name="Normal" xfId="0" builtinId="0"/>
  </cellStyles>
  <dxfs count="1">
    <dxf>
      <font>
        <b/>
        <i val="0"/>
      </font>
      <fill>
        <patternFill>
          <bgColor rgb="FFFFC000"/>
        </patternFill>
      </fill>
    </dxf>
  </dxfs>
  <tableStyles count="0" defaultTableStyle="TableStyleMedium9" defaultPivotStyle="PivotStyleLight16"/>
  <colors>
    <mruColors>
      <color rgb="FF0033CC"/>
      <color rgb="FF0066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AF93"/>
  <sheetViews>
    <sheetView tabSelected="1" zoomScale="70" zoomScaleNormal="70" workbookViewId="0"/>
  </sheetViews>
  <sheetFormatPr defaultRowHeight="15"/>
  <cols>
    <col min="1" max="1" width="2.7109375" customWidth="1"/>
    <col min="2" max="2" width="13.28515625" customWidth="1"/>
    <col min="3" max="3" width="39.7109375" bestFit="1" customWidth="1"/>
    <col min="4" max="4" width="31.7109375" bestFit="1" customWidth="1"/>
    <col min="5" max="5" width="25.7109375" style="4" customWidth="1"/>
    <col min="6" max="6" width="22.7109375" style="4" customWidth="1"/>
    <col min="7" max="7" width="17.28515625" style="4" customWidth="1"/>
    <col min="8" max="8" width="17.28515625" style="103" customWidth="1"/>
    <col min="9" max="14" width="17.28515625" style="4" customWidth="1"/>
    <col min="15" max="15" width="1.42578125" customWidth="1"/>
    <col min="16" max="16" width="35.140625" customWidth="1"/>
    <col min="17" max="17" width="25.5703125" customWidth="1"/>
    <col min="18" max="18" width="1.42578125" customWidth="1"/>
    <col min="20" max="20" width="38.85546875" customWidth="1"/>
    <col min="21" max="28" width="18.7109375" style="4" customWidth="1"/>
    <col min="29" max="29" width="9.140625" style="4"/>
    <col min="30" max="30" width="31.42578125" style="4" customWidth="1"/>
    <col min="31" max="31" width="25" style="4" customWidth="1"/>
    <col min="32" max="32" width="26.5703125" customWidth="1"/>
  </cols>
  <sheetData>
    <row r="1" spans="2:32" ht="18.75">
      <c r="B1" s="39" t="s">
        <v>165</v>
      </c>
      <c r="E1" s="4">
        <f>IF(0&lt;F2&lt;1,100,0)</f>
        <v>0</v>
      </c>
      <c r="F1" s="111"/>
    </row>
    <row r="2" spans="2:32" ht="18.75">
      <c r="E2" s="99"/>
      <c r="F2" s="99"/>
      <c r="G2" s="99"/>
      <c r="I2" s="99"/>
      <c r="J2" s="99"/>
      <c r="K2" s="99"/>
      <c r="L2" s="99"/>
      <c r="M2" s="99"/>
      <c r="N2" s="99"/>
    </row>
    <row r="3" spans="2:32">
      <c r="E3" s="4">
        <f>'Hotel Info'!E54</f>
        <v>4</v>
      </c>
      <c r="F3" s="4">
        <f>'Hotel Info'!F54</f>
        <v>5</v>
      </c>
      <c r="H3" s="103">
        <f>'Hotel Info'!L54</f>
        <v>11</v>
      </c>
      <c r="I3" s="4">
        <f>'Hotel Info'!I54</f>
        <v>8</v>
      </c>
      <c r="J3" s="4">
        <f>'Hotel Info'!C54</f>
        <v>2</v>
      </c>
      <c r="K3" s="4">
        <f>Resort_Qualitative_Data!C27</f>
        <v>2</v>
      </c>
      <c r="L3" s="4">
        <f>Resort_Qualitative_Data!H27</f>
        <v>7</v>
      </c>
      <c r="M3" s="4">
        <f>Resort_Qualitative_Data!L27</f>
        <v>11</v>
      </c>
      <c r="N3" s="4">
        <f>Resort_Qualitative_Data!P27</f>
        <v>15</v>
      </c>
    </row>
    <row r="4" spans="2:32">
      <c r="B4" s="1"/>
      <c r="D4" s="3" t="s">
        <v>132</v>
      </c>
      <c r="O4" s="77"/>
      <c r="P4" s="77"/>
      <c r="Q4" s="77"/>
      <c r="R4" s="77"/>
    </row>
    <row r="5" spans="2:32" ht="15.75" thickBot="1">
      <c r="B5" s="1" t="s">
        <v>195</v>
      </c>
      <c r="C5" s="2" t="s">
        <v>194</v>
      </c>
      <c r="D5" s="3" t="s">
        <v>133</v>
      </c>
      <c r="E5" s="3" t="s">
        <v>157</v>
      </c>
      <c r="F5" s="3" t="s">
        <v>196</v>
      </c>
      <c r="G5" s="3" t="s">
        <v>172</v>
      </c>
      <c r="H5" s="105" t="s">
        <v>158</v>
      </c>
      <c r="I5" s="3" t="s">
        <v>113</v>
      </c>
      <c r="J5" s="3" t="s">
        <v>198</v>
      </c>
      <c r="K5" s="3" t="s">
        <v>197</v>
      </c>
      <c r="L5" s="3" t="s">
        <v>86</v>
      </c>
      <c r="M5" s="3" t="s">
        <v>87</v>
      </c>
      <c r="N5" s="3" t="s">
        <v>12</v>
      </c>
      <c r="O5" s="77"/>
      <c r="R5" s="77"/>
    </row>
    <row r="6" spans="2:32" ht="15.75" thickTop="1">
      <c r="B6">
        <v>1</v>
      </c>
      <c r="C6" s="50" t="s">
        <v>40</v>
      </c>
      <c r="D6" s="107">
        <v>0</v>
      </c>
      <c r="E6" s="106">
        <f t="shared" ref="E6:E14" si="0">VLOOKUP($C6,Hotel_Info,E$3,0)</f>
        <v>492</v>
      </c>
      <c r="F6" s="106">
        <f t="shared" ref="E6:F25" si="1">VLOOKUP($C6,Hotel_Info,F$3,0)</f>
        <v>52.7</v>
      </c>
      <c r="G6" s="30">
        <f>SUM(E6:F6)</f>
        <v>544.70000000000005</v>
      </c>
      <c r="H6" s="102">
        <f t="shared" ref="H6:J25" si="2">VLOOKUP($C6,Hotel_Info,H$3,0)</f>
        <v>1</v>
      </c>
      <c r="I6" s="102">
        <f t="shared" si="2"/>
        <v>2.75</v>
      </c>
      <c r="J6" s="101" t="str">
        <f t="shared" si="2"/>
        <v>Squaw Valley - CA</v>
      </c>
      <c r="K6" s="30">
        <f t="shared" ref="K6:N25" si="3">VLOOKUP($J6,Mountain_Info,K$3,0)</f>
        <v>88</v>
      </c>
      <c r="L6" s="102">
        <f t="shared" si="3"/>
        <v>3.8843042467262268</v>
      </c>
      <c r="M6" s="102">
        <f t="shared" si="3"/>
        <v>2.6468452110758056</v>
      </c>
      <c r="N6" s="102">
        <f t="shared" si="3"/>
        <v>2.2000000000000002</v>
      </c>
      <c r="O6" s="77"/>
      <c r="R6" s="77"/>
    </row>
    <row r="7" spans="2:32">
      <c r="B7">
        <v>2</v>
      </c>
      <c r="C7" s="50" t="s">
        <v>42</v>
      </c>
      <c r="D7" s="108">
        <v>0</v>
      </c>
      <c r="E7" s="106">
        <f t="shared" si="0"/>
        <v>1768</v>
      </c>
      <c r="F7" s="106">
        <f t="shared" si="1"/>
        <v>216.84</v>
      </c>
      <c r="G7" s="30">
        <f t="shared" ref="G7:G41" si="4">SUM(E7:F7)</f>
        <v>1984.84</v>
      </c>
      <c r="H7" s="102">
        <f t="shared" si="2"/>
        <v>5</v>
      </c>
      <c r="I7" s="102">
        <f t="shared" si="2"/>
        <v>4.05</v>
      </c>
      <c r="J7" s="101" t="str">
        <f t="shared" si="2"/>
        <v>Squaw Valley - CA</v>
      </c>
      <c r="K7" s="30">
        <f t="shared" si="3"/>
        <v>88</v>
      </c>
      <c r="L7" s="102">
        <f t="shared" si="3"/>
        <v>3.8843042467262268</v>
      </c>
      <c r="M7" s="102">
        <f t="shared" si="3"/>
        <v>2.6468452110758056</v>
      </c>
      <c r="N7" s="102">
        <f t="shared" si="3"/>
        <v>2.2000000000000002</v>
      </c>
      <c r="O7" s="77"/>
      <c r="R7" s="77"/>
      <c r="AF7" s="11"/>
    </row>
    <row r="8" spans="2:32">
      <c r="B8">
        <v>3</v>
      </c>
      <c r="C8" s="50" t="s">
        <v>43</v>
      </c>
      <c r="D8" s="108">
        <v>0</v>
      </c>
      <c r="E8" s="106">
        <f t="shared" si="0"/>
        <v>6792</v>
      </c>
      <c r="F8" s="106">
        <f t="shared" si="1"/>
        <v>1043.0399999999997</v>
      </c>
      <c r="G8" s="30">
        <f t="shared" si="4"/>
        <v>7835.04</v>
      </c>
      <c r="H8" s="102">
        <f t="shared" si="2"/>
        <v>3</v>
      </c>
      <c r="I8" s="102">
        <f t="shared" si="2"/>
        <v>5</v>
      </c>
      <c r="J8" s="101" t="str">
        <f t="shared" si="2"/>
        <v>Squaw Valley - CA</v>
      </c>
      <c r="K8" s="30">
        <f t="shared" si="3"/>
        <v>88</v>
      </c>
      <c r="L8" s="102">
        <f t="shared" si="3"/>
        <v>3.8843042467262268</v>
      </c>
      <c r="M8" s="102">
        <f t="shared" si="3"/>
        <v>2.6468452110758056</v>
      </c>
      <c r="N8" s="102">
        <f t="shared" si="3"/>
        <v>2.2000000000000002</v>
      </c>
      <c r="O8" s="77"/>
      <c r="R8" s="77"/>
    </row>
    <row r="9" spans="2:32">
      <c r="B9">
        <v>4</v>
      </c>
      <c r="C9" s="50" t="s">
        <v>44</v>
      </c>
      <c r="D9" s="108">
        <v>0</v>
      </c>
      <c r="E9" s="106">
        <f t="shared" si="0"/>
        <v>2072</v>
      </c>
      <c r="F9" s="106">
        <f t="shared" si="1"/>
        <v>330.48</v>
      </c>
      <c r="G9" s="30">
        <f t="shared" si="4"/>
        <v>2402.48</v>
      </c>
      <c r="H9" s="102">
        <f t="shared" si="2"/>
        <v>4</v>
      </c>
      <c r="I9" s="102">
        <f t="shared" si="2"/>
        <v>3</v>
      </c>
      <c r="J9" s="101" t="str">
        <f t="shared" si="2"/>
        <v>Park City Mountain - UT</v>
      </c>
      <c r="K9" s="30">
        <f t="shared" si="3"/>
        <v>65</v>
      </c>
      <c r="L9" s="102">
        <f t="shared" si="3"/>
        <v>3.295801003549137</v>
      </c>
      <c r="M9" s="102">
        <f t="shared" si="3"/>
        <v>2.7702526857315783</v>
      </c>
      <c r="N9" s="102">
        <f t="shared" si="3"/>
        <v>2</v>
      </c>
      <c r="O9" s="77"/>
      <c r="R9" s="83">
        <f>'Hotel Info'!E54</f>
        <v>4</v>
      </c>
    </row>
    <row r="10" spans="2:32">
      <c r="B10">
        <v>5</v>
      </c>
      <c r="C10" s="50" t="s">
        <v>45</v>
      </c>
      <c r="D10" s="108">
        <v>0</v>
      </c>
      <c r="E10" s="106">
        <f t="shared" si="0"/>
        <v>2392</v>
      </c>
      <c r="F10" s="106">
        <f t="shared" si="1"/>
        <v>286.64</v>
      </c>
      <c r="G10" s="30">
        <f t="shared" si="4"/>
        <v>2678.64</v>
      </c>
      <c r="H10" s="102">
        <f t="shared" si="2"/>
        <v>3</v>
      </c>
      <c r="I10" s="102">
        <f t="shared" si="2"/>
        <v>3.8</v>
      </c>
      <c r="J10" s="101" t="str">
        <f t="shared" si="2"/>
        <v>Park City Mountain - UT</v>
      </c>
      <c r="K10" s="30">
        <f t="shared" si="3"/>
        <v>65</v>
      </c>
      <c r="L10" s="102">
        <f t="shared" si="3"/>
        <v>3.295801003549137</v>
      </c>
      <c r="M10" s="102">
        <f t="shared" si="3"/>
        <v>2.7702526857315783</v>
      </c>
      <c r="N10" s="102">
        <f t="shared" si="3"/>
        <v>2</v>
      </c>
      <c r="O10" s="77"/>
      <c r="R10" s="83">
        <f>'Hotel Info'!F54</f>
        <v>5</v>
      </c>
    </row>
    <row r="11" spans="2:32">
      <c r="B11">
        <v>6</v>
      </c>
      <c r="C11" s="50" t="s">
        <v>46</v>
      </c>
      <c r="D11" s="108">
        <v>0</v>
      </c>
      <c r="E11" s="106">
        <f t="shared" si="0"/>
        <v>5968.88</v>
      </c>
      <c r="F11" s="106">
        <f t="shared" si="1"/>
        <v>1337.44</v>
      </c>
      <c r="G11" s="30">
        <f t="shared" si="4"/>
        <v>7306.32</v>
      </c>
      <c r="H11" s="102">
        <f t="shared" si="2"/>
        <v>3</v>
      </c>
      <c r="I11" s="102">
        <f t="shared" si="2"/>
        <v>4.3</v>
      </c>
      <c r="J11" s="101" t="str">
        <f t="shared" si="2"/>
        <v>Park City Mountain - UT</v>
      </c>
      <c r="K11" s="30">
        <f t="shared" si="3"/>
        <v>65</v>
      </c>
      <c r="L11" s="102">
        <f t="shared" si="3"/>
        <v>3.295801003549137</v>
      </c>
      <c r="M11" s="102">
        <f t="shared" si="3"/>
        <v>2.7702526857315783</v>
      </c>
      <c r="N11" s="102">
        <f t="shared" si="3"/>
        <v>2</v>
      </c>
      <c r="O11" s="77"/>
      <c r="R11" s="77"/>
    </row>
    <row r="12" spans="2:32">
      <c r="B12">
        <v>7</v>
      </c>
      <c r="C12" s="50" t="s">
        <v>69</v>
      </c>
      <c r="D12" s="108">
        <v>0</v>
      </c>
      <c r="E12" s="106">
        <f t="shared" si="0"/>
        <v>1592</v>
      </c>
      <c r="F12" s="106">
        <f t="shared" si="1"/>
        <v>203.36</v>
      </c>
      <c r="G12" s="30">
        <f t="shared" si="4"/>
        <v>1795.3600000000001</v>
      </c>
      <c r="H12" s="102">
        <f t="shared" si="2"/>
        <v>4</v>
      </c>
      <c r="I12" s="102">
        <f t="shared" si="2"/>
        <v>3.3</v>
      </c>
      <c r="J12" s="101" t="str">
        <f t="shared" si="2"/>
        <v>Jackson Hole - WY</v>
      </c>
      <c r="K12" s="30">
        <f t="shared" si="3"/>
        <v>90</v>
      </c>
      <c r="L12" s="102">
        <f t="shared" si="3"/>
        <v>3.70072818504467</v>
      </c>
      <c r="M12" s="102">
        <f t="shared" si="3"/>
        <v>4.2727341504009688</v>
      </c>
      <c r="N12" s="102">
        <f t="shared" si="3"/>
        <v>0.40000000000000008</v>
      </c>
      <c r="O12" s="77"/>
      <c r="R12" s="77"/>
    </row>
    <row r="13" spans="2:32">
      <c r="B13">
        <v>8</v>
      </c>
      <c r="C13" s="50" t="s">
        <v>72</v>
      </c>
      <c r="D13" s="108">
        <v>0</v>
      </c>
      <c r="E13" s="106">
        <f t="shared" si="0"/>
        <v>1865.68</v>
      </c>
      <c r="F13" s="106">
        <f t="shared" si="1"/>
        <v>177.28</v>
      </c>
      <c r="G13" s="30">
        <f t="shared" si="4"/>
        <v>2042.96</v>
      </c>
      <c r="H13" s="102">
        <f t="shared" si="2"/>
        <v>4</v>
      </c>
      <c r="I13" s="102">
        <f t="shared" si="2"/>
        <v>4.05</v>
      </c>
      <c r="J13" s="101" t="str">
        <f t="shared" si="2"/>
        <v>Jackson Hole - WY</v>
      </c>
      <c r="K13" s="30">
        <f t="shared" si="3"/>
        <v>90</v>
      </c>
      <c r="L13" s="102">
        <f t="shared" si="3"/>
        <v>3.70072818504467</v>
      </c>
      <c r="M13" s="102">
        <f t="shared" si="3"/>
        <v>4.2727341504009688</v>
      </c>
      <c r="N13" s="102">
        <f t="shared" si="3"/>
        <v>0.40000000000000008</v>
      </c>
      <c r="O13" s="77"/>
      <c r="R13" s="77"/>
    </row>
    <row r="14" spans="2:32">
      <c r="B14">
        <v>9</v>
      </c>
      <c r="C14" s="50" t="s">
        <v>73</v>
      </c>
      <c r="D14" s="108">
        <v>0</v>
      </c>
      <c r="E14" s="106">
        <f t="shared" si="0"/>
        <v>3400</v>
      </c>
      <c r="F14" s="106">
        <f t="shared" si="1"/>
        <v>380</v>
      </c>
      <c r="G14" s="30">
        <f t="shared" si="4"/>
        <v>3780</v>
      </c>
      <c r="H14" s="102">
        <f t="shared" si="2"/>
        <v>5</v>
      </c>
      <c r="I14" s="102">
        <f t="shared" si="2"/>
        <v>4.95</v>
      </c>
      <c r="J14" s="101" t="str">
        <f t="shared" si="2"/>
        <v>Jackson Hole - WY</v>
      </c>
      <c r="K14" s="30">
        <f t="shared" si="3"/>
        <v>90</v>
      </c>
      <c r="L14" s="102">
        <f t="shared" si="3"/>
        <v>3.70072818504467</v>
      </c>
      <c r="M14" s="102">
        <f t="shared" si="3"/>
        <v>4.2727341504009688</v>
      </c>
      <c r="N14" s="102">
        <f t="shared" si="3"/>
        <v>0.40000000000000008</v>
      </c>
      <c r="O14" s="77"/>
      <c r="R14" s="83">
        <f>'Hotel Info'!L54</f>
        <v>11</v>
      </c>
    </row>
    <row r="15" spans="2:32">
      <c r="B15">
        <v>10</v>
      </c>
      <c r="C15" s="50" t="s">
        <v>55</v>
      </c>
      <c r="D15" s="108">
        <v>0</v>
      </c>
      <c r="E15" s="106">
        <f t="shared" si="1"/>
        <v>1800</v>
      </c>
      <c r="F15" s="106">
        <f t="shared" si="1"/>
        <v>189.68</v>
      </c>
      <c r="G15" s="30">
        <f t="shared" si="4"/>
        <v>1989.68</v>
      </c>
      <c r="H15" s="102">
        <f t="shared" si="2"/>
        <v>5</v>
      </c>
      <c r="I15" s="102">
        <f t="shared" si="2"/>
        <v>3.65</v>
      </c>
      <c r="J15" s="101" t="str">
        <f t="shared" si="2"/>
        <v>Vail - CO</v>
      </c>
      <c r="K15" s="30">
        <f t="shared" si="3"/>
        <v>102</v>
      </c>
      <c r="L15" s="102">
        <f t="shared" si="3"/>
        <v>3.4469337902337536</v>
      </c>
      <c r="M15" s="102">
        <f t="shared" si="3"/>
        <v>4.316356483582994</v>
      </c>
      <c r="N15" s="102">
        <f t="shared" si="3"/>
        <v>3.6000000000000005</v>
      </c>
      <c r="O15" s="77"/>
      <c r="R15" s="83">
        <f>'Hotel Info'!I54</f>
        <v>8</v>
      </c>
    </row>
    <row r="16" spans="2:32">
      <c r="B16">
        <v>11</v>
      </c>
      <c r="C16" s="50" t="s">
        <v>54</v>
      </c>
      <c r="D16" s="108">
        <v>0</v>
      </c>
      <c r="E16" s="106">
        <f t="shared" si="1"/>
        <v>2908</v>
      </c>
      <c r="F16" s="106">
        <f t="shared" si="1"/>
        <v>300.72000000000003</v>
      </c>
      <c r="G16" s="30">
        <f t="shared" si="4"/>
        <v>3208.7200000000003</v>
      </c>
      <c r="H16" s="102">
        <f t="shared" si="2"/>
        <v>4</v>
      </c>
      <c r="I16" s="102">
        <f t="shared" si="2"/>
        <v>4.0999999999999996</v>
      </c>
      <c r="J16" s="101" t="str">
        <f t="shared" si="2"/>
        <v>Vail - CO</v>
      </c>
      <c r="K16" s="30">
        <f t="shared" si="3"/>
        <v>102</v>
      </c>
      <c r="L16" s="102">
        <f t="shared" si="3"/>
        <v>3.4469337902337536</v>
      </c>
      <c r="M16" s="102">
        <f t="shared" si="3"/>
        <v>4.316356483582994</v>
      </c>
      <c r="N16" s="102">
        <f t="shared" si="3"/>
        <v>3.6000000000000005</v>
      </c>
      <c r="O16" s="77"/>
      <c r="R16" s="77"/>
    </row>
    <row r="17" spans="2:18">
      <c r="B17">
        <v>12</v>
      </c>
      <c r="C17" s="50" t="s">
        <v>53</v>
      </c>
      <c r="D17" s="108">
        <v>0</v>
      </c>
      <c r="E17" s="106">
        <f t="shared" si="1"/>
        <v>3880</v>
      </c>
      <c r="F17" s="106">
        <f t="shared" si="1"/>
        <v>408.8</v>
      </c>
      <c r="G17" s="30">
        <f t="shared" si="4"/>
        <v>4288.8</v>
      </c>
      <c r="H17" s="102">
        <f t="shared" si="2"/>
        <v>5</v>
      </c>
      <c r="I17" s="102">
        <f t="shared" si="2"/>
        <v>5</v>
      </c>
      <c r="J17" s="101" t="str">
        <f t="shared" si="2"/>
        <v>Vail - CO</v>
      </c>
      <c r="K17" s="30">
        <f t="shared" si="3"/>
        <v>102</v>
      </c>
      <c r="L17" s="102">
        <f t="shared" si="3"/>
        <v>3.4469337902337536</v>
      </c>
      <c r="M17" s="102">
        <f t="shared" si="3"/>
        <v>4.316356483582994</v>
      </c>
      <c r="N17" s="102">
        <f t="shared" si="3"/>
        <v>3.6000000000000005</v>
      </c>
    </row>
    <row r="18" spans="2:18">
      <c r="B18">
        <v>13</v>
      </c>
      <c r="C18" s="50" t="s">
        <v>58</v>
      </c>
      <c r="D18" s="108">
        <v>0</v>
      </c>
      <c r="E18" s="106">
        <f t="shared" si="1"/>
        <v>1648.4</v>
      </c>
      <c r="F18" s="106">
        <f t="shared" si="1"/>
        <v>242.16</v>
      </c>
      <c r="G18" s="30">
        <f t="shared" si="4"/>
        <v>1890.5600000000002</v>
      </c>
      <c r="H18" s="102">
        <f t="shared" si="2"/>
        <v>5</v>
      </c>
      <c r="I18" s="102">
        <f t="shared" si="2"/>
        <v>3.5</v>
      </c>
      <c r="J18" s="101" t="str">
        <f t="shared" si="2"/>
        <v>Whistler - BC</v>
      </c>
      <c r="K18" s="30">
        <f t="shared" si="3"/>
        <v>95</v>
      </c>
      <c r="L18" s="102">
        <f t="shared" si="3"/>
        <v>4.1920000000000002</v>
      </c>
      <c r="M18" s="102">
        <f t="shared" si="3"/>
        <v>2.2318505068845518</v>
      </c>
      <c r="N18" s="102">
        <f t="shared" si="3"/>
        <v>3.2000000000000006</v>
      </c>
    </row>
    <row r="19" spans="2:18">
      <c r="B19">
        <v>14</v>
      </c>
      <c r="C19" s="50" t="s">
        <v>56</v>
      </c>
      <c r="D19" s="108">
        <v>0</v>
      </c>
      <c r="E19" s="106">
        <f t="shared" si="1"/>
        <v>2445.12</v>
      </c>
      <c r="F19" s="106">
        <f t="shared" si="1"/>
        <v>373.2</v>
      </c>
      <c r="G19" s="30">
        <f t="shared" si="4"/>
        <v>2818.3199999999997</v>
      </c>
      <c r="H19" s="102">
        <f t="shared" si="2"/>
        <v>5</v>
      </c>
      <c r="I19" s="102">
        <f t="shared" si="2"/>
        <v>4.05</v>
      </c>
      <c r="J19" s="101" t="str">
        <f t="shared" si="2"/>
        <v>Whistler - BC</v>
      </c>
      <c r="K19" s="30">
        <f t="shared" si="3"/>
        <v>95</v>
      </c>
      <c r="L19" s="102">
        <f t="shared" si="3"/>
        <v>4.1920000000000002</v>
      </c>
      <c r="M19" s="102">
        <f t="shared" si="3"/>
        <v>2.2318505068845518</v>
      </c>
      <c r="N19" s="102">
        <f t="shared" si="3"/>
        <v>3.2000000000000006</v>
      </c>
      <c r="R19" s="69">
        <f>'Hotel Info'!C54</f>
        <v>2</v>
      </c>
    </row>
    <row r="20" spans="2:18">
      <c r="B20">
        <v>15</v>
      </c>
      <c r="C20" s="50" t="s">
        <v>57</v>
      </c>
      <c r="D20" s="108">
        <v>0</v>
      </c>
      <c r="E20" s="106">
        <f t="shared" si="1"/>
        <v>2929.28</v>
      </c>
      <c r="F20" s="106">
        <f t="shared" si="1"/>
        <v>438.72</v>
      </c>
      <c r="G20" s="30">
        <f t="shared" si="4"/>
        <v>3368</v>
      </c>
      <c r="H20" s="102">
        <f t="shared" si="2"/>
        <v>4</v>
      </c>
      <c r="I20" s="102">
        <f t="shared" si="2"/>
        <v>4.9000000000000004</v>
      </c>
      <c r="J20" s="101" t="str">
        <f t="shared" si="2"/>
        <v>Whistler - BC</v>
      </c>
      <c r="K20" s="30">
        <f t="shared" si="3"/>
        <v>95</v>
      </c>
      <c r="L20" s="102">
        <f t="shared" si="3"/>
        <v>4.1920000000000002</v>
      </c>
      <c r="M20" s="102">
        <f t="shared" si="3"/>
        <v>2.2318505068845518</v>
      </c>
      <c r="N20" s="102">
        <f t="shared" si="3"/>
        <v>3.2000000000000006</v>
      </c>
    </row>
    <row r="21" spans="2:18">
      <c r="B21">
        <v>16</v>
      </c>
      <c r="C21" s="50" t="s">
        <v>61</v>
      </c>
      <c r="D21" s="108">
        <v>0</v>
      </c>
      <c r="E21" s="106">
        <f t="shared" si="1"/>
        <v>1001.68</v>
      </c>
      <c r="F21" s="106">
        <f t="shared" si="1"/>
        <v>204.32</v>
      </c>
      <c r="G21" s="30">
        <f t="shared" si="4"/>
        <v>1206</v>
      </c>
      <c r="H21" s="102">
        <f t="shared" si="2"/>
        <v>2</v>
      </c>
      <c r="I21" s="102">
        <f t="shared" si="2"/>
        <v>2.85</v>
      </c>
      <c r="J21" s="101" t="str">
        <f t="shared" si="2"/>
        <v>Banff - ALB</v>
      </c>
      <c r="K21" s="30">
        <f t="shared" si="3"/>
        <v>76</v>
      </c>
      <c r="L21" s="102">
        <f t="shared" si="3"/>
        <v>3.2164484151266675</v>
      </c>
      <c r="M21" s="102">
        <f t="shared" si="3"/>
        <v>2.4642154637615379</v>
      </c>
      <c r="N21" s="102">
        <f t="shared" si="3"/>
        <v>0.6</v>
      </c>
    </row>
    <row r="22" spans="2:18">
      <c r="B22">
        <v>17</v>
      </c>
      <c r="C22" s="50" t="s">
        <v>60</v>
      </c>
      <c r="D22" s="108">
        <v>0</v>
      </c>
      <c r="E22" s="106">
        <f t="shared" si="1"/>
        <v>1473.12</v>
      </c>
      <c r="F22" s="106">
        <f t="shared" si="1"/>
        <v>166.56</v>
      </c>
      <c r="G22" s="30">
        <f t="shared" si="4"/>
        <v>1639.6799999999998</v>
      </c>
      <c r="H22" s="102">
        <f t="shared" si="2"/>
        <v>2</v>
      </c>
      <c r="I22" s="102">
        <f t="shared" si="2"/>
        <v>4.3</v>
      </c>
      <c r="J22" s="101" t="str">
        <f t="shared" si="2"/>
        <v>Banff - ALB</v>
      </c>
      <c r="K22" s="30">
        <f t="shared" si="3"/>
        <v>76</v>
      </c>
      <c r="L22" s="102">
        <f t="shared" si="3"/>
        <v>3.2164484151266675</v>
      </c>
      <c r="M22" s="102">
        <f t="shared" si="3"/>
        <v>2.4642154637615379</v>
      </c>
      <c r="N22" s="102">
        <f t="shared" si="3"/>
        <v>0.6</v>
      </c>
    </row>
    <row r="23" spans="2:18">
      <c r="B23">
        <v>18</v>
      </c>
      <c r="C23" s="50" t="s">
        <v>63</v>
      </c>
      <c r="D23" s="108">
        <v>0</v>
      </c>
      <c r="E23" s="106">
        <f t="shared" si="1"/>
        <v>3348.09</v>
      </c>
      <c r="F23" s="106">
        <f t="shared" si="1"/>
        <v>378.33</v>
      </c>
      <c r="G23" s="30">
        <f t="shared" si="4"/>
        <v>3726.42</v>
      </c>
      <c r="H23" s="102">
        <f t="shared" si="2"/>
        <v>2</v>
      </c>
      <c r="I23" s="102">
        <f t="shared" si="2"/>
        <v>4.45</v>
      </c>
      <c r="J23" s="101" t="str">
        <f t="shared" si="2"/>
        <v>Banff - ALB</v>
      </c>
      <c r="K23" s="30">
        <f t="shared" si="3"/>
        <v>76</v>
      </c>
      <c r="L23" s="102">
        <f t="shared" si="3"/>
        <v>3.2164484151266675</v>
      </c>
      <c r="M23" s="102">
        <f t="shared" si="3"/>
        <v>2.4642154637615379</v>
      </c>
      <c r="N23" s="102">
        <f t="shared" si="3"/>
        <v>0.6</v>
      </c>
      <c r="R23" s="69">
        <f>Resort_Qualitative_Data!C27</f>
        <v>2</v>
      </c>
    </row>
    <row r="24" spans="2:18">
      <c r="B24">
        <v>19</v>
      </c>
      <c r="C24" s="50" t="s">
        <v>109</v>
      </c>
      <c r="D24" s="108">
        <v>0</v>
      </c>
      <c r="E24" s="106">
        <f t="shared" si="1"/>
        <v>669</v>
      </c>
      <c r="F24" s="106">
        <f t="shared" si="1"/>
        <v>70</v>
      </c>
      <c r="G24" s="30">
        <f t="shared" si="4"/>
        <v>739</v>
      </c>
      <c r="H24" s="102">
        <f t="shared" si="2"/>
        <v>1</v>
      </c>
      <c r="I24" s="102">
        <f t="shared" si="2"/>
        <v>3.2</v>
      </c>
      <c r="J24" s="101" t="str">
        <f t="shared" si="2"/>
        <v>Killington - VT</v>
      </c>
      <c r="K24" s="30">
        <f t="shared" si="3"/>
        <v>84</v>
      </c>
      <c r="L24" s="102">
        <f t="shared" si="3"/>
        <v>1.8460491983845304</v>
      </c>
      <c r="M24" s="102">
        <f t="shared" si="3"/>
        <v>3.2922378574670907</v>
      </c>
      <c r="N24" s="102">
        <f t="shared" si="3"/>
        <v>1.8000000000000003</v>
      </c>
      <c r="R24" s="69"/>
    </row>
    <row r="25" spans="2:18">
      <c r="B25">
        <v>20</v>
      </c>
      <c r="C25" s="50" t="s">
        <v>110</v>
      </c>
      <c r="D25" s="108">
        <v>0</v>
      </c>
      <c r="E25" s="106">
        <f t="shared" si="1"/>
        <v>1152</v>
      </c>
      <c r="F25" s="106">
        <f t="shared" si="1"/>
        <v>123</v>
      </c>
      <c r="G25" s="30">
        <f t="shared" si="4"/>
        <v>1275</v>
      </c>
      <c r="H25" s="102">
        <f t="shared" si="2"/>
        <v>3</v>
      </c>
      <c r="I25" s="102">
        <f t="shared" si="2"/>
        <v>4</v>
      </c>
      <c r="J25" s="101" t="str">
        <f t="shared" si="2"/>
        <v>Killington - VT</v>
      </c>
      <c r="K25" s="30">
        <f t="shared" si="3"/>
        <v>84</v>
      </c>
      <c r="L25" s="102">
        <f t="shared" si="3"/>
        <v>1.8460491983845304</v>
      </c>
      <c r="M25" s="102">
        <f t="shared" si="3"/>
        <v>3.2922378574670907</v>
      </c>
      <c r="N25" s="102">
        <f t="shared" si="3"/>
        <v>1.8000000000000003</v>
      </c>
    </row>
    <row r="26" spans="2:18">
      <c r="B26">
        <v>21</v>
      </c>
      <c r="C26" s="50" t="s">
        <v>111</v>
      </c>
      <c r="D26" s="108">
        <v>0</v>
      </c>
      <c r="E26" s="106">
        <f t="shared" ref="E26:F41" si="5">VLOOKUP($C26,Hotel_Info,E$3,0)</f>
        <v>1816</v>
      </c>
      <c r="F26" s="106">
        <f t="shared" si="5"/>
        <v>218</v>
      </c>
      <c r="G26" s="30">
        <f t="shared" si="4"/>
        <v>2034</v>
      </c>
      <c r="H26" s="102">
        <f t="shared" ref="H26:J41" si="6">VLOOKUP($C26,Hotel_Info,H$3,0)</f>
        <v>1</v>
      </c>
      <c r="I26" s="102">
        <f t="shared" si="6"/>
        <v>4.3499999999999996</v>
      </c>
      <c r="J26" s="101" t="str">
        <f t="shared" si="6"/>
        <v>Killington - VT</v>
      </c>
      <c r="K26" s="30">
        <f t="shared" ref="K26:N41" si="7">VLOOKUP($J26,Mountain_Info,K$3,0)</f>
        <v>84</v>
      </c>
      <c r="L26" s="102">
        <f t="shared" si="7"/>
        <v>1.8460491983845304</v>
      </c>
      <c r="M26" s="102">
        <f t="shared" si="7"/>
        <v>3.2922378574670907</v>
      </c>
      <c r="N26" s="102">
        <f t="shared" si="7"/>
        <v>1.8000000000000003</v>
      </c>
    </row>
    <row r="27" spans="2:18">
      <c r="B27">
        <v>22</v>
      </c>
      <c r="C27" s="50" t="s">
        <v>79</v>
      </c>
      <c r="D27" s="108">
        <v>1</v>
      </c>
      <c r="E27" s="106">
        <f t="shared" si="5"/>
        <v>682.5</v>
      </c>
      <c r="F27" s="106">
        <f t="shared" si="5"/>
        <v>95.53</v>
      </c>
      <c r="G27" s="30">
        <f t="shared" si="4"/>
        <v>778.03</v>
      </c>
      <c r="H27" s="102">
        <f t="shared" si="6"/>
        <v>5</v>
      </c>
      <c r="I27" s="102">
        <f t="shared" si="6"/>
        <v>3.45</v>
      </c>
      <c r="J27" s="101" t="str">
        <f t="shared" si="6"/>
        <v>Heavenly - CA</v>
      </c>
      <c r="K27" s="30">
        <f t="shared" si="7"/>
        <v>77</v>
      </c>
      <c r="L27" s="102">
        <f t="shared" si="7"/>
        <v>3.3911650960714717</v>
      </c>
      <c r="M27" s="102">
        <f t="shared" si="7"/>
        <v>3.1277046451808141</v>
      </c>
      <c r="N27" s="102">
        <f t="shared" si="7"/>
        <v>3</v>
      </c>
    </row>
    <row r="28" spans="2:18">
      <c r="B28">
        <v>23</v>
      </c>
      <c r="C28" s="50" t="s">
        <v>80</v>
      </c>
      <c r="D28" s="108">
        <v>0</v>
      </c>
      <c r="E28" s="106">
        <f t="shared" si="5"/>
        <v>1312</v>
      </c>
      <c r="F28" s="106">
        <f t="shared" si="5"/>
        <v>172.7</v>
      </c>
      <c r="G28" s="30">
        <f t="shared" si="4"/>
        <v>1484.7</v>
      </c>
      <c r="H28" s="102">
        <f t="shared" si="6"/>
        <v>5</v>
      </c>
      <c r="I28" s="102">
        <f t="shared" si="6"/>
        <v>4.0999999999999996</v>
      </c>
      <c r="J28" s="101" t="str">
        <f t="shared" si="6"/>
        <v>Heavenly - CA</v>
      </c>
      <c r="K28" s="30">
        <f t="shared" si="7"/>
        <v>77</v>
      </c>
      <c r="L28" s="102">
        <f t="shared" si="7"/>
        <v>3.3911650960714717</v>
      </c>
      <c r="M28" s="102">
        <f t="shared" si="7"/>
        <v>3.1277046451808141</v>
      </c>
      <c r="N28" s="102">
        <f t="shared" si="7"/>
        <v>3</v>
      </c>
      <c r="R28" s="69">
        <f>Resort_Qualitative_Data!H27</f>
        <v>7</v>
      </c>
    </row>
    <row r="29" spans="2:18">
      <c r="B29">
        <v>24</v>
      </c>
      <c r="C29" s="50" t="s">
        <v>81</v>
      </c>
      <c r="D29" s="108">
        <v>0</v>
      </c>
      <c r="E29" s="106">
        <f t="shared" si="5"/>
        <v>2040</v>
      </c>
      <c r="F29" s="106">
        <f t="shared" si="5"/>
        <v>282.88</v>
      </c>
      <c r="G29" s="30">
        <f t="shared" si="4"/>
        <v>2322.88</v>
      </c>
      <c r="H29" s="102">
        <f t="shared" si="6"/>
        <v>5</v>
      </c>
      <c r="I29" s="102">
        <f t="shared" si="6"/>
        <v>4.8499999999999996</v>
      </c>
      <c r="J29" s="101" t="str">
        <f t="shared" si="6"/>
        <v>Heavenly - CA</v>
      </c>
      <c r="K29" s="30">
        <f t="shared" si="7"/>
        <v>77</v>
      </c>
      <c r="L29" s="102">
        <f t="shared" si="7"/>
        <v>3.3911650960714717</v>
      </c>
      <c r="M29" s="102">
        <f t="shared" si="7"/>
        <v>3.1277046451808141</v>
      </c>
      <c r="N29" s="102">
        <f t="shared" si="7"/>
        <v>3</v>
      </c>
      <c r="R29" s="69">
        <f>Resort_Qualitative_Data!L27</f>
        <v>11</v>
      </c>
    </row>
    <row r="30" spans="2:18">
      <c r="B30">
        <v>25</v>
      </c>
      <c r="C30" s="50" t="s">
        <v>82</v>
      </c>
      <c r="D30" s="108">
        <v>0</v>
      </c>
      <c r="E30" s="106">
        <f t="shared" si="5"/>
        <v>968</v>
      </c>
      <c r="F30" s="106">
        <f t="shared" si="5"/>
        <v>76</v>
      </c>
      <c r="G30" s="30">
        <f t="shared" si="4"/>
        <v>1044</v>
      </c>
      <c r="H30" s="102">
        <f t="shared" si="6"/>
        <v>3</v>
      </c>
      <c r="I30" s="102">
        <f t="shared" si="6"/>
        <v>3.9</v>
      </c>
      <c r="J30" s="101" t="str">
        <f t="shared" si="6"/>
        <v>Sunday River - ME</v>
      </c>
      <c r="K30" s="30">
        <f t="shared" si="7"/>
        <v>79</v>
      </c>
      <c r="L30" s="102">
        <f t="shared" si="7"/>
        <v>1.2248123852649615</v>
      </c>
      <c r="M30" s="102">
        <f t="shared" si="7"/>
        <v>1.8644272961113637</v>
      </c>
      <c r="N30" s="102">
        <f t="shared" si="7"/>
        <v>0.6</v>
      </c>
      <c r="R30">
        <f>Resort_Qualitative_Data!P27</f>
        <v>15</v>
      </c>
    </row>
    <row r="31" spans="2:18">
      <c r="B31">
        <v>26</v>
      </c>
      <c r="C31" s="50" t="s">
        <v>84</v>
      </c>
      <c r="D31" s="108">
        <v>0</v>
      </c>
      <c r="E31" s="106">
        <f t="shared" si="5"/>
        <v>2200</v>
      </c>
      <c r="F31" s="106">
        <f t="shared" si="5"/>
        <v>193</v>
      </c>
      <c r="G31" s="30">
        <f t="shared" si="4"/>
        <v>2393</v>
      </c>
      <c r="H31" s="102">
        <f t="shared" si="6"/>
        <v>1</v>
      </c>
      <c r="I31" s="102">
        <f t="shared" si="6"/>
        <v>3.95</v>
      </c>
      <c r="J31" s="101" t="str">
        <f t="shared" si="6"/>
        <v>Sunday River - ME</v>
      </c>
      <c r="K31" s="30">
        <f t="shared" si="7"/>
        <v>79</v>
      </c>
      <c r="L31" s="102">
        <f t="shared" si="7"/>
        <v>1.2248123852649615</v>
      </c>
      <c r="M31" s="102">
        <f t="shared" si="7"/>
        <v>1.8644272961113637</v>
      </c>
      <c r="N31" s="102">
        <f t="shared" si="7"/>
        <v>0.6</v>
      </c>
    </row>
    <row r="32" spans="2:18">
      <c r="B32">
        <v>27</v>
      </c>
      <c r="C32" s="50" t="s">
        <v>116</v>
      </c>
      <c r="D32" s="108">
        <v>0</v>
      </c>
      <c r="E32" s="106">
        <f t="shared" si="5"/>
        <v>3000</v>
      </c>
      <c r="F32" s="106">
        <f t="shared" si="5"/>
        <v>300</v>
      </c>
      <c r="G32" s="30">
        <f t="shared" si="4"/>
        <v>3300</v>
      </c>
      <c r="H32" s="102">
        <f t="shared" si="6"/>
        <v>3</v>
      </c>
      <c r="I32" s="102">
        <f t="shared" si="6"/>
        <v>4.5999999999999996</v>
      </c>
      <c r="J32" s="101" t="str">
        <f t="shared" si="6"/>
        <v>Sunday River - ME</v>
      </c>
      <c r="K32" s="30">
        <f t="shared" si="7"/>
        <v>79</v>
      </c>
      <c r="L32" s="102">
        <f t="shared" si="7"/>
        <v>1.2248123852649615</v>
      </c>
      <c r="M32" s="102">
        <f t="shared" si="7"/>
        <v>1.8644272961113637</v>
      </c>
      <c r="N32" s="102">
        <f t="shared" si="7"/>
        <v>0.6</v>
      </c>
    </row>
    <row r="33" spans="2:20">
      <c r="B33">
        <v>28</v>
      </c>
      <c r="C33" s="50" t="s">
        <v>47</v>
      </c>
      <c r="D33" s="108">
        <v>0</v>
      </c>
      <c r="E33" s="106">
        <f t="shared" si="5"/>
        <v>792</v>
      </c>
      <c r="F33" s="106">
        <f t="shared" si="5"/>
        <v>83.2</v>
      </c>
      <c r="G33" s="30">
        <f t="shared" si="4"/>
        <v>875.2</v>
      </c>
      <c r="H33" s="102">
        <f t="shared" si="6"/>
        <v>4</v>
      </c>
      <c r="I33" s="102">
        <f t="shared" si="6"/>
        <v>3.5</v>
      </c>
      <c r="J33" s="101" t="str">
        <f t="shared" si="6"/>
        <v>Sun Valley - ID</v>
      </c>
      <c r="K33" s="30">
        <f t="shared" si="7"/>
        <v>57</v>
      </c>
      <c r="L33" s="102">
        <f t="shared" si="7"/>
        <v>1.7970652306939177</v>
      </c>
      <c r="M33" s="102">
        <f t="shared" si="7"/>
        <v>2.2383416553185054</v>
      </c>
      <c r="N33" s="102">
        <f t="shared" si="7"/>
        <v>1.6000000000000003</v>
      </c>
    </row>
    <row r="34" spans="2:20">
      <c r="B34">
        <v>29</v>
      </c>
      <c r="C34" s="50" t="s">
        <v>83</v>
      </c>
      <c r="D34" s="108">
        <v>0</v>
      </c>
      <c r="E34" s="106">
        <f t="shared" si="5"/>
        <v>2120</v>
      </c>
      <c r="F34" s="106">
        <f t="shared" si="5"/>
        <v>295</v>
      </c>
      <c r="G34" s="30">
        <f t="shared" si="4"/>
        <v>2415</v>
      </c>
      <c r="H34" s="102">
        <f t="shared" si="6"/>
        <v>3</v>
      </c>
      <c r="I34" s="102">
        <f t="shared" si="6"/>
        <v>3.95</v>
      </c>
      <c r="J34" s="101" t="str">
        <f t="shared" si="6"/>
        <v>Sun Valley - ID</v>
      </c>
      <c r="K34" s="30">
        <f t="shared" si="7"/>
        <v>57</v>
      </c>
      <c r="L34" s="102">
        <f t="shared" si="7"/>
        <v>1.7970652306939177</v>
      </c>
      <c r="M34" s="102">
        <f t="shared" si="7"/>
        <v>2.2383416553185054</v>
      </c>
      <c r="N34" s="102">
        <f t="shared" si="7"/>
        <v>1.6000000000000003</v>
      </c>
    </row>
    <row r="35" spans="2:20">
      <c r="B35">
        <v>30</v>
      </c>
      <c r="C35" s="50" t="s">
        <v>48</v>
      </c>
      <c r="D35" s="108">
        <v>0</v>
      </c>
      <c r="E35" s="106">
        <f t="shared" si="5"/>
        <v>2726</v>
      </c>
      <c r="F35" s="106">
        <f t="shared" si="5"/>
        <v>382</v>
      </c>
      <c r="G35" s="30">
        <f t="shared" si="4"/>
        <v>3108</v>
      </c>
      <c r="H35" s="102">
        <f t="shared" si="6"/>
        <v>5</v>
      </c>
      <c r="I35" s="102">
        <f t="shared" si="6"/>
        <v>4.75</v>
      </c>
      <c r="J35" s="101" t="str">
        <f t="shared" si="6"/>
        <v>Sun Valley - ID</v>
      </c>
      <c r="K35" s="30">
        <f t="shared" si="7"/>
        <v>57</v>
      </c>
      <c r="L35" s="102">
        <f t="shared" si="7"/>
        <v>1.7970652306939177</v>
      </c>
      <c r="M35" s="102">
        <f t="shared" si="7"/>
        <v>2.2383416553185054</v>
      </c>
      <c r="N35" s="102">
        <f t="shared" si="7"/>
        <v>1.6000000000000003</v>
      </c>
    </row>
    <row r="36" spans="2:20">
      <c r="B36">
        <v>31</v>
      </c>
      <c r="C36" s="50" t="s">
        <v>74</v>
      </c>
      <c r="D36" s="108">
        <v>0</v>
      </c>
      <c r="E36" s="106">
        <f t="shared" si="5"/>
        <v>1400</v>
      </c>
      <c r="F36" s="106">
        <f t="shared" si="5"/>
        <v>218</v>
      </c>
      <c r="G36" s="30">
        <f t="shared" si="4"/>
        <v>1618</v>
      </c>
      <c r="H36" s="102">
        <f t="shared" si="6"/>
        <v>3</v>
      </c>
      <c r="I36" s="102">
        <f t="shared" si="6"/>
        <v>3.6</v>
      </c>
      <c r="J36" s="101" t="str">
        <f t="shared" si="6"/>
        <v>Big Sky - MT</v>
      </c>
      <c r="K36" s="30">
        <f t="shared" si="7"/>
        <v>77</v>
      </c>
      <c r="L36" s="102">
        <f t="shared" si="7"/>
        <v>3.5118712519887407</v>
      </c>
      <c r="M36" s="102">
        <f t="shared" si="7"/>
        <v>4.9872900590104408</v>
      </c>
      <c r="N36" s="102">
        <f t="shared" si="7"/>
        <v>0.80000000000000016</v>
      </c>
    </row>
    <row r="37" spans="2:20">
      <c r="B37">
        <v>32</v>
      </c>
      <c r="C37" s="50" t="s">
        <v>75</v>
      </c>
      <c r="D37" s="108">
        <v>0</v>
      </c>
      <c r="E37" s="106">
        <f t="shared" si="5"/>
        <v>1765</v>
      </c>
      <c r="F37" s="106">
        <f t="shared" si="5"/>
        <v>232</v>
      </c>
      <c r="G37" s="30">
        <f t="shared" si="4"/>
        <v>1997</v>
      </c>
      <c r="H37" s="102">
        <f t="shared" si="6"/>
        <v>3</v>
      </c>
      <c r="I37" s="102">
        <f t="shared" si="6"/>
        <v>4.5</v>
      </c>
      <c r="J37" s="101" t="str">
        <f t="shared" si="6"/>
        <v>Big Sky - MT</v>
      </c>
      <c r="K37" s="30">
        <f t="shared" si="7"/>
        <v>77</v>
      </c>
      <c r="L37" s="102">
        <f t="shared" si="7"/>
        <v>3.5118712519887407</v>
      </c>
      <c r="M37" s="102">
        <f t="shared" si="7"/>
        <v>4.9872900590104408</v>
      </c>
      <c r="N37" s="102">
        <f t="shared" si="7"/>
        <v>0.80000000000000016</v>
      </c>
      <c r="P37" s="1" t="s">
        <v>164</v>
      </c>
    </row>
    <row r="38" spans="2:20">
      <c r="B38">
        <v>33</v>
      </c>
      <c r="C38" s="50" t="s">
        <v>117</v>
      </c>
      <c r="D38" s="108">
        <v>0</v>
      </c>
      <c r="E38" s="106">
        <f t="shared" si="5"/>
        <v>3000</v>
      </c>
      <c r="F38" s="106">
        <f t="shared" si="5"/>
        <v>300</v>
      </c>
      <c r="G38" s="30">
        <f t="shared" si="4"/>
        <v>3300</v>
      </c>
      <c r="H38" s="102">
        <f t="shared" si="6"/>
        <v>4</v>
      </c>
      <c r="I38" s="102">
        <f t="shared" si="6"/>
        <v>4.5999999999999996</v>
      </c>
      <c r="J38" s="101" t="str">
        <f t="shared" si="6"/>
        <v>Big Sky - MT</v>
      </c>
      <c r="K38" s="30">
        <f t="shared" si="7"/>
        <v>77</v>
      </c>
      <c r="L38" s="102">
        <f t="shared" si="7"/>
        <v>3.5118712519887407</v>
      </c>
      <c r="M38" s="102">
        <f t="shared" si="7"/>
        <v>4.9872900590104408</v>
      </c>
      <c r="N38" s="102">
        <f t="shared" si="7"/>
        <v>0.80000000000000016</v>
      </c>
    </row>
    <row r="39" spans="2:20">
      <c r="B39">
        <v>34</v>
      </c>
      <c r="C39" s="50" t="s">
        <v>76</v>
      </c>
      <c r="D39" s="108">
        <v>0</v>
      </c>
      <c r="E39" s="106">
        <f t="shared" si="5"/>
        <v>2532</v>
      </c>
      <c r="F39" s="106">
        <f t="shared" si="5"/>
        <v>357</v>
      </c>
      <c r="G39" s="30">
        <f t="shared" si="4"/>
        <v>2889</v>
      </c>
      <c r="H39" s="102">
        <f t="shared" si="6"/>
        <v>4</v>
      </c>
      <c r="I39" s="102">
        <f t="shared" si="6"/>
        <v>3.55</v>
      </c>
      <c r="J39" s="101" t="str">
        <f t="shared" si="6"/>
        <v>Aspen - CO</v>
      </c>
      <c r="K39" s="30">
        <f t="shared" si="7"/>
        <v>87</v>
      </c>
      <c r="L39" s="102">
        <f t="shared" si="7"/>
        <v>3.1229531269122508</v>
      </c>
      <c r="M39" s="102">
        <f t="shared" si="7"/>
        <v>3.9333333333333345</v>
      </c>
      <c r="N39" s="102">
        <f t="shared" si="7"/>
        <v>4</v>
      </c>
    </row>
    <row r="40" spans="2:20">
      <c r="B40">
        <v>35</v>
      </c>
      <c r="C40" s="50" t="s">
        <v>77</v>
      </c>
      <c r="D40" s="108">
        <v>0</v>
      </c>
      <c r="E40" s="106">
        <f t="shared" si="5"/>
        <v>2861</v>
      </c>
      <c r="F40" s="106">
        <f t="shared" si="5"/>
        <v>323</v>
      </c>
      <c r="G40" s="30">
        <f t="shared" si="4"/>
        <v>3184</v>
      </c>
      <c r="H40" s="102">
        <f t="shared" si="6"/>
        <v>5</v>
      </c>
      <c r="I40" s="102">
        <f t="shared" si="6"/>
        <v>4.3499999999999996</v>
      </c>
      <c r="J40" s="101" t="str">
        <f t="shared" si="6"/>
        <v>Aspen - CO</v>
      </c>
      <c r="K40" s="30">
        <f t="shared" si="7"/>
        <v>87</v>
      </c>
      <c r="L40" s="102">
        <f t="shared" si="7"/>
        <v>3.1229531269122508</v>
      </c>
      <c r="M40" s="102">
        <f t="shared" si="7"/>
        <v>3.9333333333333345</v>
      </c>
      <c r="N40" s="102">
        <f t="shared" si="7"/>
        <v>4</v>
      </c>
    </row>
    <row r="41" spans="2:20" ht="15.75" thickBot="1">
      <c r="B41">
        <v>36</v>
      </c>
      <c r="C41" s="50" t="s">
        <v>78</v>
      </c>
      <c r="D41" s="109">
        <v>0</v>
      </c>
      <c r="E41" s="106">
        <f t="shared" si="5"/>
        <v>9520</v>
      </c>
      <c r="F41" s="106">
        <f t="shared" si="5"/>
        <v>999</v>
      </c>
      <c r="G41" s="30">
        <f t="shared" si="4"/>
        <v>10519</v>
      </c>
      <c r="H41" s="102">
        <f t="shared" si="6"/>
        <v>5</v>
      </c>
      <c r="I41" s="102">
        <f t="shared" si="6"/>
        <v>5</v>
      </c>
      <c r="J41" s="101" t="str">
        <f t="shared" si="6"/>
        <v>Aspen - CO</v>
      </c>
      <c r="K41" s="30">
        <f t="shared" si="7"/>
        <v>87</v>
      </c>
      <c r="L41" s="102">
        <f t="shared" si="7"/>
        <v>3.1229531269122508</v>
      </c>
      <c r="M41" s="102">
        <f t="shared" si="7"/>
        <v>3.9333333333333345</v>
      </c>
      <c r="N41" s="102">
        <f t="shared" si="7"/>
        <v>4</v>
      </c>
    </row>
    <row r="42" spans="2:20" ht="15.75" thickTop="1">
      <c r="D42" s="4" t="s">
        <v>104</v>
      </c>
    </row>
    <row r="43" spans="2:20">
      <c r="C43" s="51" t="s">
        <v>134</v>
      </c>
      <c r="D43" s="95">
        <f>SUM(D6:D41)</f>
        <v>1</v>
      </c>
      <c r="E43" s="100"/>
      <c r="F43" s="100"/>
      <c r="G43" s="100"/>
      <c r="H43" s="104"/>
      <c r="I43" s="100"/>
      <c r="J43" s="100"/>
      <c r="K43" s="100"/>
      <c r="L43" s="100"/>
      <c r="M43" s="100"/>
      <c r="N43" s="100"/>
    </row>
    <row r="44" spans="2:20">
      <c r="C44" s="51" t="s">
        <v>193</v>
      </c>
      <c r="D44" s="31">
        <v>1</v>
      </c>
      <c r="E44" s="100"/>
      <c r="F44" s="100"/>
      <c r="G44" s="100"/>
      <c r="H44" s="104"/>
      <c r="I44" s="100"/>
      <c r="J44" s="100"/>
      <c r="K44" s="100"/>
      <c r="L44" s="100"/>
      <c r="M44" s="100"/>
      <c r="N44" s="100"/>
    </row>
    <row r="46" spans="2:20">
      <c r="T46" t="s">
        <v>190</v>
      </c>
    </row>
    <row r="50" spans="3:17" ht="15.75" thickBot="1">
      <c r="D50">
        <f>ROUND(SUMPRODUCT($B$6:$B$41,D6:D41),0)</f>
        <v>22</v>
      </c>
      <c r="F50" s="1" t="s">
        <v>169</v>
      </c>
      <c r="H50" s="4"/>
      <c r="O50" s="4"/>
      <c r="P50" s="4"/>
      <c r="Q50" s="4"/>
    </row>
    <row r="51" spans="3:17" ht="16.5" thickTop="1" thickBot="1">
      <c r="C51" s="76" t="s">
        <v>137</v>
      </c>
      <c r="D51" s="133" t="str">
        <f>VLOOKUP(D50,B6:C41,2,0)</f>
        <v>3 Peaks Resort and Beach Club</v>
      </c>
      <c r="E51" s="110"/>
      <c r="F51"/>
      <c r="H51" s="4"/>
      <c r="O51" s="4"/>
      <c r="P51" s="4"/>
      <c r="Q51" s="4"/>
    </row>
    <row r="52" spans="3:17" ht="15.75" thickTop="1">
      <c r="C52" s="77"/>
      <c r="D52" s="77"/>
      <c r="F52" s="2"/>
      <c r="G52" s="9" t="s">
        <v>136</v>
      </c>
      <c r="H52" s="9" t="s">
        <v>136</v>
      </c>
      <c r="I52" s="9" t="s">
        <v>136</v>
      </c>
      <c r="J52" s="9" t="s">
        <v>136</v>
      </c>
      <c r="K52" s="9" t="s">
        <v>136</v>
      </c>
      <c r="L52" s="9" t="s">
        <v>136</v>
      </c>
      <c r="M52" s="9" t="s">
        <v>136</v>
      </c>
      <c r="N52" s="9" t="s">
        <v>136</v>
      </c>
      <c r="O52" s="4"/>
      <c r="P52" s="11"/>
      <c r="Q52" s="11"/>
    </row>
    <row r="53" spans="3:17">
      <c r="C53" s="78" t="s">
        <v>150</v>
      </c>
      <c r="D53" s="77"/>
      <c r="F53"/>
      <c r="G53" s="125" t="s">
        <v>4</v>
      </c>
      <c r="H53" s="126" t="s">
        <v>5</v>
      </c>
      <c r="I53" s="126" t="s">
        <v>6</v>
      </c>
      <c r="J53" s="126" t="s">
        <v>7</v>
      </c>
      <c r="K53" s="126" t="s">
        <v>8</v>
      </c>
      <c r="L53" s="126" t="s">
        <v>9</v>
      </c>
      <c r="M53" s="126" t="s">
        <v>10</v>
      </c>
      <c r="N53" s="127" t="s">
        <v>11</v>
      </c>
      <c r="O53" s="4"/>
      <c r="P53" s="97" t="s">
        <v>135</v>
      </c>
      <c r="Q53" s="11">
        <f>COLUMNS(G53:N53)</f>
        <v>8</v>
      </c>
    </row>
    <row r="54" spans="3:17">
      <c r="C54" s="79" t="s">
        <v>163</v>
      </c>
      <c r="D54" s="77"/>
      <c r="F54" t="s">
        <v>31</v>
      </c>
      <c r="G54" s="113">
        <v>3</v>
      </c>
      <c r="H54" s="114">
        <v>5</v>
      </c>
      <c r="I54" s="114">
        <v>5</v>
      </c>
      <c r="J54" s="114">
        <v>4</v>
      </c>
      <c r="K54" s="114">
        <v>2</v>
      </c>
      <c r="L54" s="114">
        <v>4</v>
      </c>
      <c r="M54" s="114">
        <v>4</v>
      </c>
      <c r="N54" s="115">
        <v>4</v>
      </c>
      <c r="O54" s="40"/>
      <c r="P54" s="96" t="s">
        <v>181</v>
      </c>
      <c r="Q54" s="11">
        <f>Q53-Q56</f>
        <v>7</v>
      </c>
    </row>
    <row r="55" spans="3:17">
      <c r="C55" s="80" t="s">
        <v>166</v>
      </c>
      <c r="D55" s="81">
        <f>SUMPRODUCT(D6:D41,E6:E41)</f>
        <v>682.5</v>
      </c>
      <c r="F55" t="s">
        <v>112</v>
      </c>
      <c r="G55" s="116">
        <v>2</v>
      </c>
      <c r="H55" s="117">
        <v>5</v>
      </c>
      <c r="I55" s="117">
        <v>5</v>
      </c>
      <c r="J55" s="117">
        <v>4</v>
      </c>
      <c r="K55" s="117">
        <v>2</v>
      </c>
      <c r="L55" s="117">
        <v>3</v>
      </c>
      <c r="M55" s="117">
        <v>2</v>
      </c>
      <c r="N55" s="118">
        <v>3</v>
      </c>
      <c r="O55" s="40"/>
      <c r="P55" s="96" t="s">
        <v>175</v>
      </c>
      <c r="Q55" s="11">
        <f>Q53/4</f>
        <v>2</v>
      </c>
    </row>
    <row r="56" spans="3:17">
      <c r="C56" s="80" t="s">
        <v>151</v>
      </c>
      <c r="D56" s="81">
        <f>SUMPRODUCT(D6:D41,F6:F41)</f>
        <v>95.53</v>
      </c>
      <c r="F56" t="s">
        <v>86</v>
      </c>
      <c r="G56" s="116">
        <v>4</v>
      </c>
      <c r="H56" s="117">
        <v>3</v>
      </c>
      <c r="I56" s="117">
        <v>1</v>
      </c>
      <c r="J56" s="117">
        <v>4</v>
      </c>
      <c r="K56" s="117">
        <v>5</v>
      </c>
      <c r="L56" s="117">
        <v>2</v>
      </c>
      <c r="M56" s="117">
        <v>4</v>
      </c>
      <c r="N56" s="118">
        <v>5</v>
      </c>
      <c r="O56" s="40"/>
      <c r="P56" s="96" t="s">
        <v>176</v>
      </c>
      <c r="Q56" s="11">
        <f>SUM(G72:N72)</f>
        <v>1</v>
      </c>
    </row>
    <row r="57" spans="3:17">
      <c r="C57" s="80" t="s">
        <v>167</v>
      </c>
      <c r="D57" s="98">
        <f>SUM(D55:D56)/2</f>
        <v>389.01499999999999</v>
      </c>
      <c r="F57" t="s">
        <v>87</v>
      </c>
      <c r="G57" s="116">
        <v>5</v>
      </c>
      <c r="H57" s="117">
        <v>3</v>
      </c>
      <c r="I57" s="117">
        <v>1</v>
      </c>
      <c r="J57" s="117">
        <v>4</v>
      </c>
      <c r="K57" s="117">
        <v>5</v>
      </c>
      <c r="L57" s="117">
        <v>2</v>
      </c>
      <c r="M57" s="117">
        <v>2</v>
      </c>
      <c r="N57" s="118">
        <v>4</v>
      </c>
      <c r="O57" s="40"/>
      <c r="P57" s="96" t="s">
        <v>177</v>
      </c>
      <c r="Q57" s="11">
        <f>MAX(0,Q55-Q56)</f>
        <v>1</v>
      </c>
    </row>
    <row r="58" spans="3:17">
      <c r="C58" s="80"/>
      <c r="D58" s="77"/>
      <c r="F58" t="s">
        <v>12</v>
      </c>
      <c r="G58" s="119">
        <v>2</v>
      </c>
      <c r="H58" s="120">
        <v>5</v>
      </c>
      <c r="I58" s="120">
        <v>5</v>
      </c>
      <c r="J58" s="120">
        <v>3</v>
      </c>
      <c r="K58" s="120">
        <v>1</v>
      </c>
      <c r="L58" s="120">
        <v>4</v>
      </c>
      <c r="M58" s="120">
        <v>2</v>
      </c>
      <c r="N58" s="121">
        <v>2</v>
      </c>
      <c r="O58" s="40"/>
      <c r="P58" s="96" t="s">
        <v>107</v>
      </c>
      <c r="Q58" s="30">
        <f>'Flight_Cost Data'!E11*'Flight_Cost Data'!E12*Q57</f>
        <v>800</v>
      </c>
    </row>
    <row r="59" spans="3:17">
      <c r="C59" s="79" t="s">
        <v>162</v>
      </c>
      <c r="D59" s="77"/>
      <c r="F59"/>
      <c r="G59" s="40"/>
      <c r="H59" s="40"/>
      <c r="I59" s="40"/>
      <c r="J59" s="40"/>
      <c r="K59" s="40"/>
      <c r="L59" s="40"/>
      <c r="M59" s="40"/>
      <c r="N59" s="40"/>
      <c r="O59" s="40"/>
      <c r="P59" s="96" t="s">
        <v>182</v>
      </c>
      <c r="Q59" s="131">
        <f>IF(Q54=0,0,Q58/Q54)</f>
        <v>114.28571428571429</v>
      </c>
    </row>
    <row r="60" spans="3:17">
      <c r="C60" s="80" t="s">
        <v>158</v>
      </c>
      <c r="D60" s="82">
        <f>SUMPRODUCT(D6:D41,H6:H41)</f>
        <v>5</v>
      </c>
      <c r="F60" t="s">
        <v>168</v>
      </c>
      <c r="G60" s="122">
        <v>5</v>
      </c>
      <c r="H60" s="123">
        <v>5</v>
      </c>
      <c r="I60" s="123">
        <v>3</v>
      </c>
      <c r="J60" s="123">
        <v>5</v>
      </c>
      <c r="K60" s="123">
        <v>7</v>
      </c>
      <c r="L60" s="123">
        <v>5</v>
      </c>
      <c r="M60" s="123">
        <v>5</v>
      </c>
      <c r="N60" s="124">
        <v>6</v>
      </c>
      <c r="O60" s="40"/>
      <c r="P60" s="4"/>
      <c r="Q60" s="4"/>
    </row>
    <row r="61" spans="3:17">
      <c r="C61" s="80" t="s">
        <v>113</v>
      </c>
      <c r="D61" s="82">
        <f>SUMPRODUCT(D6:D41,I6:I41)</f>
        <v>3.45</v>
      </c>
      <c r="F61" t="s">
        <v>187</v>
      </c>
      <c r="G61" s="122" t="s">
        <v>199</v>
      </c>
      <c r="H61" s="123" t="s">
        <v>199</v>
      </c>
      <c r="I61" s="123" t="s">
        <v>199</v>
      </c>
      <c r="J61" s="123" t="s">
        <v>200</v>
      </c>
      <c r="K61" s="123" t="s">
        <v>199</v>
      </c>
      <c r="L61" s="123" t="s">
        <v>200</v>
      </c>
      <c r="M61" s="123" t="s">
        <v>199</v>
      </c>
      <c r="N61" s="124" t="s">
        <v>199</v>
      </c>
      <c r="O61" s="40"/>
      <c r="P61" s="96" t="s">
        <v>191</v>
      </c>
      <c r="Q61" s="4"/>
    </row>
    <row r="62" spans="3:17" ht="15.75" thickBot="1">
      <c r="F62"/>
      <c r="H62" s="4"/>
      <c r="O62" s="4"/>
      <c r="P62" s="96" t="s">
        <v>186</v>
      </c>
      <c r="Q62" s="96">
        <v>30</v>
      </c>
    </row>
    <row r="63" spans="3:17" ht="16.5" thickTop="1" thickBot="1">
      <c r="C63" s="1" t="s">
        <v>160</v>
      </c>
      <c r="D63" s="133" t="str">
        <f>VLOOKUP($D$50,B6:J41,9,0)</f>
        <v>Heavenly - CA</v>
      </c>
      <c r="F63" t="s">
        <v>173</v>
      </c>
      <c r="G63" s="90">
        <f>$D$57</f>
        <v>389.01499999999999</v>
      </c>
      <c r="H63" s="90">
        <f t="shared" ref="H63:N63" si="8">$D$57</f>
        <v>389.01499999999999</v>
      </c>
      <c r="I63" s="90">
        <f t="shared" si="8"/>
        <v>389.01499999999999</v>
      </c>
      <c r="J63" s="90">
        <f t="shared" si="8"/>
        <v>389.01499999999999</v>
      </c>
      <c r="K63" s="90">
        <f t="shared" si="8"/>
        <v>389.01499999999999</v>
      </c>
      <c r="L63" s="90">
        <f t="shared" si="8"/>
        <v>389.01499999999999</v>
      </c>
      <c r="M63" s="90">
        <f t="shared" si="8"/>
        <v>389.01499999999999</v>
      </c>
      <c r="N63" s="90">
        <f t="shared" si="8"/>
        <v>389.01499999999999</v>
      </c>
      <c r="O63" s="4"/>
      <c r="P63" s="96" t="s">
        <v>201</v>
      </c>
      <c r="Q63" s="96">
        <v>75</v>
      </c>
    </row>
    <row r="64" spans="3:17" ht="15.75" thickTop="1">
      <c r="F64" t="s">
        <v>170</v>
      </c>
      <c r="G64" s="90">
        <f>$D$67*G60</f>
        <v>385</v>
      </c>
      <c r="H64" s="90">
        <f t="shared" ref="H64:N64" si="9">$D$67*H60</f>
        <v>385</v>
      </c>
      <c r="I64" s="90">
        <f t="shared" si="9"/>
        <v>231</v>
      </c>
      <c r="J64" s="90">
        <f t="shared" si="9"/>
        <v>385</v>
      </c>
      <c r="K64" s="90">
        <f t="shared" si="9"/>
        <v>539</v>
      </c>
      <c r="L64" s="90">
        <f t="shared" si="9"/>
        <v>385</v>
      </c>
      <c r="M64" s="90">
        <f t="shared" si="9"/>
        <v>385</v>
      </c>
      <c r="N64" s="90">
        <f t="shared" si="9"/>
        <v>462</v>
      </c>
      <c r="O64" s="4"/>
      <c r="P64" s="4"/>
      <c r="Q64" s="4"/>
    </row>
    <row r="65" spans="3:17">
      <c r="C65" s="2" t="s">
        <v>161</v>
      </c>
      <c r="F65" t="s">
        <v>185</v>
      </c>
      <c r="G65" s="90">
        <f>IF(G61="yes",G60*$Q$62,0)</f>
        <v>0</v>
      </c>
      <c r="H65" s="90">
        <f t="shared" ref="H65:N65" si="10">IF(H61="yes",H60*$Q$62,0)</f>
        <v>0</v>
      </c>
      <c r="I65" s="90">
        <f t="shared" si="10"/>
        <v>0</v>
      </c>
      <c r="J65" s="90">
        <f t="shared" si="10"/>
        <v>150</v>
      </c>
      <c r="K65" s="90">
        <f t="shared" si="10"/>
        <v>0</v>
      </c>
      <c r="L65" s="90">
        <f t="shared" si="10"/>
        <v>150</v>
      </c>
      <c r="M65" s="90">
        <f t="shared" si="10"/>
        <v>0</v>
      </c>
      <c r="N65" s="90">
        <f t="shared" si="10"/>
        <v>0</v>
      </c>
      <c r="O65" s="4"/>
      <c r="P65" s="4"/>
      <c r="Q65" s="4"/>
    </row>
    <row r="66" spans="3:17">
      <c r="C66" s="70" t="s">
        <v>163</v>
      </c>
      <c r="F66"/>
      <c r="H66" s="4"/>
      <c r="O66" s="4"/>
      <c r="P66" s="4"/>
      <c r="Q66" s="4"/>
    </row>
    <row r="67" spans="3:17">
      <c r="C67" s="71" t="s">
        <v>125</v>
      </c>
      <c r="D67" s="92">
        <f>SUMPRODUCT(D6:D41,K6:K41)</f>
        <v>77</v>
      </c>
      <c r="F67" t="s">
        <v>171</v>
      </c>
      <c r="G67" s="44">
        <f>$Q$63*8</f>
        <v>600</v>
      </c>
      <c r="H67" s="44">
        <f t="shared" ref="H67:N67" si="11">$Q$63*8</f>
        <v>600</v>
      </c>
      <c r="I67" s="44">
        <f t="shared" si="11"/>
        <v>600</v>
      </c>
      <c r="J67" s="44">
        <f t="shared" si="11"/>
        <v>600</v>
      </c>
      <c r="K67" s="44">
        <f t="shared" si="11"/>
        <v>600</v>
      </c>
      <c r="L67" s="44">
        <f t="shared" si="11"/>
        <v>600</v>
      </c>
      <c r="M67" s="44">
        <f t="shared" si="11"/>
        <v>600</v>
      </c>
      <c r="N67" s="44">
        <f t="shared" si="11"/>
        <v>600</v>
      </c>
      <c r="O67" s="4"/>
      <c r="P67" s="4"/>
      <c r="Q67" s="4"/>
    </row>
    <row r="68" spans="3:17">
      <c r="G68" s="19"/>
      <c r="H68" s="134"/>
      <c r="I68" s="19"/>
      <c r="J68" s="19"/>
      <c r="K68" s="19"/>
      <c r="L68" s="19"/>
      <c r="M68" s="19"/>
      <c r="N68" s="19"/>
      <c r="O68" s="4"/>
      <c r="P68" s="4"/>
      <c r="Q68" s="4"/>
    </row>
    <row r="69" spans="3:17">
      <c r="C69" s="70" t="s">
        <v>162</v>
      </c>
      <c r="F69" s="91" t="s">
        <v>183</v>
      </c>
      <c r="G69" s="19">
        <f>IF(ISERROR($D$63),0,VLOOKUP($D$63,Flight_Info,2,0))</f>
        <v>8</v>
      </c>
      <c r="H69" s="19">
        <f t="shared" ref="H69:N69" si="12">IF(ISERROR($D$63),0,VLOOKUP($D$63,Flight_Info,2,0))</f>
        <v>8</v>
      </c>
      <c r="I69" s="19">
        <f t="shared" si="12"/>
        <v>8</v>
      </c>
      <c r="J69" s="19">
        <f t="shared" si="12"/>
        <v>8</v>
      </c>
      <c r="K69" s="19">
        <f t="shared" si="12"/>
        <v>8</v>
      </c>
      <c r="L69" s="19">
        <f t="shared" si="12"/>
        <v>8</v>
      </c>
      <c r="M69" s="19">
        <f t="shared" si="12"/>
        <v>8</v>
      </c>
      <c r="N69" s="19">
        <f t="shared" si="12"/>
        <v>8</v>
      </c>
      <c r="O69" s="4"/>
      <c r="P69" s="4"/>
      <c r="Q69" s="4"/>
    </row>
    <row r="70" spans="3:17">
      <c r="C70" s="71" t="s">
        <v>86</v>
      </c>
      <c r="D70" s="27">
        <f>SUMPRODUCT(D6:D41,L6:L41)</f>
        <v>3.3911650960714717</v>
      </c>
      <c r="F70" t="s">
        <v>178</v>
      </c>
      <c r="G70" s="135">
        <f t="shared" ref="G70:N70" si="13">IF($G$69=0,0,HLOOKUP(G53,Flight_Info,G69+1,0))</f>
        <v>520</v>
      </c>
      <c r="H70" s="135">
        <f t="shared" si="13"/>
        <v>491</v>
      </c>
      <c r="I70" s="135">
        <f t="shared" si="13"/>
        <v>646</v>
      </c>
      <c r="J70" s="135">
        <f t="shared" si="13"/>
        <v>30.4</v>
      </c>
      <c r="K70" s="135">
        <f t="shared" si="13"/>
        <v>455</v>
      </c>
      <c r="L70" s="135">
        <f t="shared" si="13"/>
        <v>540</v>
      </c>
      <c r="M70" s="135">
        <f t="shared" si="13"/>
        <v>405</v>
      </c>
      <c r="N70" s="135">
        <f t="shared" si="13"/>
        <v>589</v>
      </c>
      <c r="O70" s="4"/>
      <c r="P70" s="4"/>
      <c r="Q70" s="4"/>
    </row>
    <row r="71" spans="3:17">
      <c r="C71" s="71" t="s">
        <v>87</v>
      </c>
      <c r="D71" s="27">
        <f>SUMPRODUCT(D6:D41,M6:M41)</f>
        <v>3.1277046451808141</v>
      </c>
      <c r="F71" s="91" t="s">
        <v>184</v>
      </c>
      <c r="G71" s="19">
        <f>IF(ISERROR($D$63),0,VLOOKUP($D$63,Driving_Info,2,0))</f>
        <v>8</v>
      </c>
      <c r="H71" s="19">
        <f t="shared" ref="H71:N71" si="14">IF(ISERROR($D$63),0,VLOOKUP($D$63,Driving_Info,2,0))</f>
        <v>8</v>
      </c>
      <c r="I71" s="19">
        <f t="shared" si="14"/>
        <v>8</v>
      </c>
      <c r="J71" s="19">
        <f t="shared" si="14"/>
        <v>8</v>
      </c>
      <c r="K71" s="19">
        <f t="shared" si="14"/>
        <v>8</v>
      </c>
      <c r="L71" s="19">
        <f t="shared" si="14"/>
        <v>8</v>
      </c>
      <c r="M71" s="19">
        <f t="shared" si="14"/>
        <v>8</v>
      </c>
      <c r="N71" s="19">
        <f t="shared" si="14"/>
        <v>8</v>
      </c>
      <c r="O71" s="4"/>
      <c r="P71" s="96" t="s">
        <v>192</v>
      </c>
      <c r="Q71" s="4"/>
    </row>
    <row r="72" spans="3:17">
      <c r="C72" s="71" t="s">
        <v>12</v>
      </c>
      <c r="D72" s="27">
        <f>SUMPRODUCT(D6:D41,N6:N41)</f>
        <v>3</v>
      </c>
      <c r="F72" s="91" t="s">
        <v>179</v>
      </c>
      <c r="G72" s="19">
        <f>IF(G71=0,0,HLOOKUP(G$53,Driving_Info,G71+1,0))</f>
        <v>0</v>
      </c>
      <c r="H72" s="19">
        <f t="shared" ref="H72:N72" si="15">IF(H71=0,0,HLOOKUP(H$53,Driving_Info,H71+1,0))</f>
        <v>0</v>
      </c>
      <c r="I72" s="19">
        <f t="shared" si="15"/>
        <v>0</v>
      </c>
      <c r="J72" s="19">
        <f t="shared" si="15"/>
        <v>1</v>
      </c>
      <c r="K72" s="19">
        <f t="shared" si="15"/>
        <v>0</v>
      </c>
      <c r="L72" s="19">
        <f t="shared" si="15"/>
        <v>0</v>
      </c>
      <c r="M72" s="19">
        <f t="shared" si="15"/>
        <v>0</v>
      </c>
      <c r="N72" s="19">
        <f t="shared" si="15"/>
        <v>0</v>
      </c>
      <c r="O72" s="4"/>
      <c r="P72" s="96" t="s">
        <v>191</v>
      </c>
      <c r="Q72" s="4"/>
    </row>
    <row r="73" spans="3:17">
      <c r="F73" t="s">
        <v>107</v>
      </c>
      <c r="G73" s="90">
        <f>IF(G72=1,0,$Q$59)</f>
        <v>114.28571428571429</v>
      </c>
      <c r="H73" s="90">
        <f t="shared" ref="H73:N73" si="16">IF(H72=1,0,$Q$59)</f>
        <v>114.28571428571429</v>
      </c>
      <c r="I73" s="90">
        <f t="shared" si="16"/>
        <v>114.28571428571429</v>
      </c>
      <c r="J73" s="90">
        <f t="shared" si="16"/>
        <v>0</v>
      </c>
      <c r="K73" s="90">
        <f t="shared" si="16"/>
        <v>114.28571428571429</v>
      </c>
      <c r="L73" s="90">
        <f t="shared" si="16"/>
        <v>114.28571428571429</v>
      </c>
      <c r="M73" s="90">
        <f t="shared" si="16"/>
        <v>114.28571428571429</v>
      </c>
      <c r="N73" s="90">
        <f t="shared" si="16"/>
        <v>114.28571428571429</v>
      </c>
      <c r="O73" s="4"/>
      <c r="P73" s="4"/>
      <c r="Q73" s="4"/>
    </row>
    <row r="74" spans="3:17">
      <c r="C74" s="1"/>
      <c r="F74" s="70"/>
      <c r="H74" s="4"/>
      <c r="O74" s="4"/>
      <c r="P74" s="4"/>
      <c r="Q74" s="4"/>
    </row>
    <row r="75" spans="3:17">
      <c r="F75" s="1" t="s">
        <v>172</v>
      </c>
      <c r="G75" s="93">
        <f>G63+G64+G65+G67+G70+G73</f>
        <v>2008.3007142857141</v>
      </c>
      <c r="H75" s="93">
        <f t="shared" ref="H75:N75" si="17">H63+H64+H65+H67+H70+H73</f>
        <v>1979.3007142857141</v>
      </c>
      <c r="I75" s="93">
        <f t="shared" si="17"/>
        <v>1980.3007142857141</v>
      </c>
      <c r="J75" s="93">
        <f t="shared" si="17"/>
        <v>1554.415</v>
      </c>
      <c r="K75" s="93">
        <f t="shared" si="17"/>
        <v>2097.3007142857141</v>
      </c>
      <c r="L75" s="93">
        <f t="shared" si="17"/>
        <v>2178.3007142857141</v>
      </c>
      <c r="M75" s="93">
        <f t="shared" si="17"/>
        <v>1893.3007142857141</v>
      </c>
      <c r="N75" s="93">
        <f t="shared" si="17"/>
        <v>2154.3007142857141</v>
      </c>
      <c r="O75" s="4"/>
      <c r="P75" s="90"/>
      <c r="Q75" s="4"/>
    </row>
    <row r="76" spans="3:17">
      <c r="F76"/>
      <c r="H76" s="4"/>
      <c r="O76" s="4"/>
      <c r="P76" s="4"/>
      <c r="Q76" s="4"/>
    </row>
    <row r="77" spans="3:17">
      <c r="F77" s="1" t="s">
        <v>174</v>
      </c>
      <c r="G77" s="128">
        <v>2500</v>
      </c>
      <c r="H77" s="129">
        <v>2500</v>
      </c>
      <c r="I77" s="129">
        <v>2500</v>
      </c>
      <c r="J77" s="129">
        <v>2500</v>
      </c>
      <c r="K77" s="129">
        <v>2500</v>
      </c>
      <c r="L77" s="129">
        <v>2500</v>
      </c>
      <c r="M77" s="129">
        <v>2500</v>
      </c>
      <c r="N77" s="130">
        <v>2500</v>
      </c>
      <c r="O77" s="4"/>
      <c r="P77" s="90"/>
      <c r="Q77" s="4"/>
    </row>
    <row r="78" spans="3:17">
      <c r="F78" t="s">
        <v>202</v>
      </c>
      <c r="G78" s="4">
        <f>IF(G75&gt;G77,1,0)</f>
        <v>0</v>
      </c>
      <c r="H78" s="4">
        <f>IF(H75&gt;H77,1,0)</f>
        <v>0</v>
      </c>
      <c r="I78" s="4">
        <f t="shared" ref="I78:N78" si="18">IF(I75&gt;I77,1,0)</f>
        <v>0</v>
      </c>
      <c r="J78" s="4">
        <f t="shared" si="18"/>
        <v>0</v>
      </c>
      <c r="K78" s="4">
        <f t="shared" si="18"/>
        <v>0</v>
      </c>
      <c r="L78" s="4">
        <f t="shared" si="18"/>
        <v>0</v>
      </c>
      <c r="M78" s="4">
        <f t="shared" si="18"/>
        <v>0</v>
      </c>
      <c r="N78" s="4">
        <f t="shared" si="18"/>
        <v>0</v>
      </c>
      <c r="O78" s="4"/>
      <c r="P78" s="4"/>
      <c r="Q78" s="4"/>
    </row>
    <row r="79" spans="3:17">
      <c r="F79"/>
      <c r="H79" s="4"/>
      <c r="O79" s="4"/>
      <c r="P79" s="4"/>
      <c r="Q79" s="4"/>
    </row>
    <row r="80" spans="3:17">
      <c r="F80" s="1" t="s">
        <v>188</v>
      </c>
      <c r="H80" s="4"/>
      <c r="O80" s="4"/>
      <c r="P80" s="4"/>
      <c r="Q80" s="4"/>
    </row>
    <row r="81" spans="6:17">
      <c r="F81"/>
      <c r="H81" s="4"/>
      <c r="O81" s="4"/>
      <c r="P81" s="4"/>
      <c r="Q81" s="4"/>
    </row>
    <row r="82" spans="6:17">
      <c r="F82" s="2"/>
      <c r="G82" s="9" t="s">
        <v>136</v>
      </c>
      <c r="H82" s="9" t="s">
        <v>136</v>
      </c>
      <c r="I82" s="9" t="s">
        <v>136</v>
      </c>
      <c r="J82" s="9" t="s">
        <v>136</v>
      </c>
      <c r="K82" s="9" t="s">
        <v>136</v>
      </c>
      <c r="L82" s="9" t="s">
        <v>136</v>
      </c>
      <c r="M82" s="9" t="s">
        <v>136</v>
      </c>
      <c r="N82" s="9" t="s">
        <v>136</v>
      </c>
      <c r="O82" s="4"/>
      <c r="P82" s="4"/>
      <c r="Q82" s="4"/>
    </row>
    <row r="83" spans="6:17">
      <c r="F83"/>
      <c r="G83" s="9" t="str">
        <f>G53</f>
        <v>Boston</v>
      </c>
      <c r="H83" s="9" t="str">
        <f t="shared" ref="H83:N83" si="19">H53</f>
        <v>NYC</v>
      </c>
      <c r="I83" s="9" t="str">
        <f t="shared" si="19"/>
        <v>Miami</v>
      </c>
      <c r="J83" s="9" t="str">
        <f t="shared" si="19"/>
        <v>San Francisco</v>
      </c>
      <c r="K83" s="9" t="str">
        <f t="shared" si="19"/>
        <v>Denver</v>
      </c>
      <c r="L83" s="9" t="str">
        <f t="shared" si="19"/>
        <v>Chicago</v>
      </c>
      <c r="M83" s="9" t="str">
        <f t="shared" si="19"/>
        <v>San Diego</v>
      </c>
      <c r="N83" s="9" t="str">
        <f t="shared" si="19"/>
        <v>Houston</v>
      </c>
      <c r="O83" s="4"/>
      <c r="P83" s="4"/>
      <c r="Q83" s="4"/>
    </row>
    <row r="84" spans="6:17">
      <c r="F84" t="s">
        <v>31</v>
      </c>
      <c r="G84" s="94">
        <f>ABS(G54-$D$60)</f>
        <v>2</v>
      </c>
      <c r="H84" s="94">
        <f t="shared" ref="H84:N84" si="20">ABS(H54-$D$60)</f>
        <v>0</v>
      </c>
      <c r="I84" s="94">
        <f t="shared" si="20"/>
        <v>0</v>
      </c>
      <c r="J84" s="94">
        <f t="shared" si="20"/>
        <v>1</v>
      </c>
      <c r="K84" s="94">
        <f t="shared" si="20"/>
        <v>3</v>
      </c>
      <c r="L84" s="94">
        <f t="shared" si="20"/>
        <v>1</v>
      </c>
      <c r="M84" s="94">
        <f t="shared" si="20"/>
        <v>1</v>
      </c>
      <c r="N84" s="94">
        <f t="shared" si="20"/>
        <v>1</v>
      </c>
      <c r="O84" s="95">
        <f>SUM(G84:N84)</f>
        <v>9</v>
      </c>
      <c r="P84" s="4"/>
      <c r="Q84" s="4"/>
    </row>
    <row r="85" spans="6:17">
      <c r="F85" t="s">
        <v>112</v>
      </c>
      <c r="G85" s="94">
        <f>ABS(G55-$D$61)</f>
        <v>1.4500000000000002</v>
      </c>
      <c r="H85" s="94">
        <f t="shared" ref="H85:N85" si="21">ABS(H55-$D$61)</f>
        <v>1.5499999999999998</v>
      </c>
      <c r="I85" s="94">
        <f t="shared" si="21"/>
        <v>1.5499999999999998</v>
      </c>
      <c r="J85" s="94">
        <f t="shared" si="21"/>
        <v>0.54999999999999982</v>
      </c>
      <c r="K85" s="94">
        <f t="shared" si="21"/>
        <v>1.4500000000000002</v>
      </c>
      <c r="L85" s="94">
        <f t="shared" si="21"/>
        <v>0.45000000000000018</v>
      </c>
      <c r="M85" s="94">
        <f t="shared" si="21"/>
        <v>1.4500000000000002</v>
      </c>
      <c r="N85" s="94">
        <f t="shared" si="21"/>
        <v>0.45000000000000018</v>
      </c>
      <c r="O85" s="95">
        <f t="shared" ref="O85:O88" si="22">SUM(G85:N85)</f>
        <v>8.8999999999999986</v>
      </c>
      <c r="P85" s="4"/>
      <c r="Q85" s="4"/>
    </row>
    <row r="86" spans="6:17">
      <c r="F86" t="s">
        <v>86</v>
      </c>
      <c r="G86" s="94">
        <f>ABS(G56-$D70)</f>
        <v>0.60883490392852835</v>
      </c>
      <c r="H86" s="94">
        <f t="shared" ref="H86:N88" si="23">ABS(H56-$D70)</f>
        <v>0.39116509607147165</v>
      </c>
      <c r="I86" s="94">
        <f t="shared" si="23"/>
        <v>2.3911650960714717</v>
      </c>
      <c r="J86" s="94">
        <f t="shared" si="23"/>
        <v>0.60883490392852835</v>
      </c>
      <c r="K86" s="94">
        <f t="shared" si="23"/>
        <v>1.6088349039285283</v>
      </c>
      <c r="L86" s="94">
        <f t="shared" si="23"/>
        <v>1.3911650960714717</v>
      </c>
      <c r="M86" s="94">
        <f t="shared" si="23"/>
        <v>0.60883490392852835</v>
      </c>
      <c r="N86" s="94">
        <f t="shared" si="23"/>
        <v>1.6088349039285283</v>
      </c>
      <c r="O86" s="95">
        <f t="shared" si="22"/>
        <v>9.2176698078570567</v>
      </c>
      <c r="P86" s="4"/>
      <c r="Q86" s="4"/>
    </row>
    <row r="87" spans="6:17">
      <c r="F87" t="s">
        <v>87</v>
      </c>
      <c r="G87" s="94">
        <f>ABS(G57-$D71)</f>
        <v>1.8722953548191859</v>
      </c>
      <c r="H87" s="94">
        <f t="shared" si="23"/>
        <v>0.12770464518081415</v>
      </c>
      <c r="I87" s="94">
        <f t="shared" si="23"/>
        <v>2.1277046451808141</v>
      </c>
      <c r="J87" s="94">
        <f t="shared" si="23"/>
        <v>0.87229535481918585</v>
      </c>
      <c r="K87" s="94">
        <f t="shared" si="23"/>
        <v>1.8722953548191859</v>
      </c>
      <c r="L87" s="94">
        <f t="shared" si="23"/>
        <v>1.1277046451808141</v>
      </c>
      <c r="M87" s="94">
        <f t="shared" si="23"/>
        <v>1.1277046451808141</v>
      </c>
      <c r="N87" s="94">
        <f t="shared" si="23"/>
        <v>0.87229535481918585</v>
      </c>
      <c r="O87" s="95">
        <f t="shared" si="22"/>
        <v>10</v>
      </c>
      <c r="P87" s="4"/>
      <c r="Q87" s="4"/>
    </row>
    <row r="88" spans="6:17">
      <c r="F88" t="s">
        <v>12</v>
      </c>
      <c r="G88" s="94">
        <f>ABS(G58-$D72)</f>
        <v>1</v>
      </c>
      <c r="H88" s="94">
        <f t="shared" si="23"/>
        <v>2</v>
      </c>
      <c r="I88" s="94">
        <f t="shared" si="23"/>
        <v>2</v>
      </c>
      <c r="J88" s="94">
        <f t="shared" si="23"/>
        <v>0</v>
      </c>
      <c r="K88" s="94">
        <f t="shared" si="23"/>
        <v>2</v>
      </c>
      <c r="L88" s="94">
        <f t="shared" si="23"/>
        <v>1</v>
      </c>
      <c r="M88" s="94">
        <f t="shared" si="23"/>
        <v>1</v>
      </c>
      <c r="N88" s="94">
        <f t="shared" si="23"/>
        <v>1</v>
      </c>
      <c r="O88" s="95">
        <f t="shared" si="22"/>
        <v>10</v>
      </c>
      <c r="P88" s="4"/>
      <c r="Q88" s="4"/>
    </row>
    <row r="89" spans="6:17">
      <c r="F89"/>
      <c r="H89" s="4"/>
      <c r="O89" s="4"/>
      <c r="P89" s="4"/>
      <c r="Q89" s="4"/>
    </row>
    <row r="90" spans="6:17">
      <c r="F90" t="s">
        <v>189</v>
      </c>
      <c r="G90" s="95">
        <f>SUM(G84:G89)</f>
        <v>6.9311302587477144</v>
      </c>
      <c r="H90" s="95">
        <f t="shared" ref="H90:N90" si="24">SUM(H84:H89)</f>
        <v>4.0688697412522856</v>
      </c>
      <c r="I90" s="95">
        <f t="shared" si="24"/>
        <v>8.0688697412522856</v>
      </c>
      <c r="J90" s="95">
        <f t="shared" si="24"/>
        <v>3.031130258747714</v>
      </c>
      <c r="K90" s="95">
        <f t="shared" si="24"/>
        <v>9.9311302587477144</v>
      </c>
      <c r="L90" s="95">
        <f t="shared" si="24"/>
        <v>4.968869741252286</v>
      </c>
      <c r="M90" s="95">
        <f t="shared" si="24"/>
        <v>5.1865395491093427</v>
      </c>
      <c r="N90" s="95">
        <f t="shared" si="24"/>
        <v>4.9311302587477144</v>
      </c>
      <c r="Q90" s="4"/>
    </row>
    <row r="91" spans="6:17" ht="15.75" thickBot="1"/>
    <row r="92" spans="6:17" ht="16.5" thickTop="1" thickBot="1">
      <c r="F92" s="4" t="s">
        <v>204</v>
      </c>
      <c r="G92" s="112">
        <f>SUM(O84:O88)+IF(SUM(G78:N78)&gt;0,1000,0)</f>
        <v>47.117669807857055</v>
      </c>
    </row>
    <row r="93" spans="6:17" ht="15.75" thickTop="1"/>
  </sheetData>
  <dataValidations count="5">
    <dataValidation type="list" allowBlank="1" showInputMessage="1" showErrorMessage="1" sqref="O54:O61 G59:N59">
      <formula1>$AF$2:$AF$5</formula1>
    </dataValidation>
    <dataValidation type="list" allowBlank="1" showInputMessage="1" showErrorMessage="1" sqref="G54:N58">
      <formula1>"1,2,3,4,5"</formula1>
    </dataValidation>
    <dataValidation type="list" allowBlank="1" showInputMessage="1" showErrorMessage="1" sqref="G60:N60">
      <formula1>"1,2,3,4,5,6,7"</formula1>
    </dataValidation>
    <dataValidation type="list" allowBlank="1" showInputMessage="1" showErrorMessage="1" sqref="G61:N61">
      <formula1>"yes,no"</formula1>
    </dataValidation>
    <dataValidation type="list" allowBlank="1" showInputMessage="1" showErrorMessage="1" sqref="G53:N53">
      <formula1>"Boston,NYC,Miami,San Francisco,Denver,Chicago,San Diego,Houston"</formula1>
    </dataValidation>
  </dataValidations>
  <pageMargins left="0.7" right="0.7" top="0.75" bottom="0.75" header="0.3" footer="0.3"/>
  <pageSetup orientation="portrait" r:id="rId1"/>
  <ignoredErrors>
    <ignoredError sqref="G6:G41" formula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B2:Q78"/>
  <sheetViews>
    <sheetView topLeftCell="A32" zoomScale="75" zoomScaleNormal="75" workbookViewId="0">
      <selection activeCell="F19" sqref="F19"/>
    </sheetView>
  </sheetViews>
  <sheetFormatPr defaultRowHeight="15"/>
  <cols>
    <col min="1" max="1" width="2.7109375" customWidth="1"/>
    <col min="2" max="2" width="22.140625" customWidth="1"/>
    <col min="3" max="3" width="16.5703125" customWidth="1"/>
    <col min="4" max="4" width="14.85546875" bestFit="1" customWidth="1"/>
    <col min="5" max="5" width="9.85546875" customWidth="1"/>
    <col min="6" max="6" width="7.42578125" bestFit="1" customWidth="1"/>
    <col min="7" max="7" width="6.42578125" bestFit="1" customWidth="1"/>
    <col min="8" max="8" width="7" bestFit="1" customWidth="1"/>
    <col min="9" max="9" width="12.85546875" bestFit="1" customWidth="1"/>
    <col min="10" max="10" width="7.7109375" bestFit="1" customWidth="1"/>
    <col min="11" max="11" width="8.140625" bestFit="1" customWidth="1"/>
    <col min="12" max="12" width="9.85546875" bestFit="1" customWidth="1"/>
    <col min="13" max="13" width="8.7109375" bestFit="1" customWidth="1"/>
    <col min="14" max="14" width="11.140625" style="34" customWidth="1"/>
    <col min="15" max="15" width="15.140625" customWidth="1"/>
    <col min="16" max="17" width="15.7109375" customWidth="1"/>
  </cols>
  <sheetData>
    <row r="2" spans="2:17" ht="18.75">
      <c r="B2" s="39" t="s">
        <v>127</v>
      </c>
    </row>
    <row r="3" spans="2:17">
      <c r="B3" s="5" t="s">
        <v>128</v>
      </c>
    </row>
    <row r="4" spans="2:17">
      <c r="B4" s="5" t="s">
        <v>129</v>
      </c>
    </row>
    <row r="5" spans="2:17">
      <c r="B5" s="5" t="s">
        <v>126</v>
      </c>
    </row>
    <row r="6" spans="2:17">
      <c r="B6" s="5"/>
    </row>
    <row r="7" spans="2:17">
      <c r="B7" s="2" t="s">
        <v>159</v>
      </c>
    </row>
    <row r="8" spans="2:17">
      <c r="C8" s="4" t="s">
        <v>103</v>
      </c>
      <c r="D8" s="4" t="s">
        <v>104</v>
      </c>
      <c r="E8" s="45">
        <v>4</v>
      </c>
    </row>
    <row r="9" spans="2:17">
      <c r="C9" s="4" t="s">
        <v>105</v>
      </c>
      <c r="D9" s="4" t="s">
        <v>104</v>
      </c>
      <c r="E9" s="46">
        <v>25</v>
      </c>
    </row>
    <row r="10" spans="2:17">
      <c r="C10" s="4" t="s">
        <v>108</v>
      </c>
      <c r="D10" s="4" t="s">
        <v>104</v>
      </c>
      <c r="E10" s="47">
        <v>4</v>
      </c>
    </row>
    <row r="11" spans="2:17">
      <c r="C11" s="4" t="s">
        <v>107</v>
      </c>
      <c r="D11" s="4" t="s">
        <v>104</v>
      </c>
      <c r="E11" s="48">
        <v>100</v>
      </c>
    </row>
    <row r="12" spans="2:17">
      <c r="C12" s="4" t="s">
        <v>118</v>
      </c>
      <c r="D12" s="4" t="s">
        <v>104</v>
      </c>
      <c r="E12" s="47">
        <v>8</v>
      </c>
    </row>
    <row r="13" spans="2:17">
      <c r="C13" s="4" t="s">
        <v>124</v>
      </c>
      <c r="D13" s="4" t="s">
        <v>104</v>
      </c>
      <c r="E13" s="47">
        <v>100</v>
      </c>
    </row>
    <row r="14" spans="2:17">
      <c r="C14" s="4" t="s">
        <v>131</v>
      </c>
      <c r="E14" s="47">
        <v>300</v>
      </c>
    </row>
    <row r="15" spans="2:17">
      <c r="C15" s="14"/>
      <c r="D15" s="14"/>
      <c r="E15" s="4"/>
      <c r="F15" s="4"/>
      <c r="G15" s="4"/>
      <c r="H15" s="4"/>
      <c r="I15" s="4"/>
      <c r="J15" s="4"/>
      <c r="K15" s="4"/>
      <c r="L15" s="4"/>
      <c r="M15" s="4"/>
      <c r="O15" s="4"/>
      <c r="P15" s="4"/>
      <c r="Q15" s="4"/>
    </row>
    <row r="16" spans="2:17">
      <c r="C16" s="4"/>
      <c r="D16" s="4"/>
      <c r="E16" s="4"/>
      <c r="F16" s="41" t="s">
        <v>119</v>
      </c>
      <c r="G16" s="42"/>
      <c r="H16" s="42"/>
      <c r="I16" s="42"/>
      <c r="J16" s="42"/>
      <c r="K16" s="42"/>
      <c r="L16" s="42"/>
      <c r="M16" s="43"/>
      <c r="N16" s="84"/>
      <c r="O16" s="9"/>
      <c r="P16" s="4"/>
      <c r="Q16" s="4"/>
    </row>
    <row r="17" spans="2:17">
      <c r="B17" s="2" t="s">
        <v>1</v>
      </c>
      <c r="C17" s="3" t="s">
        <v>180</v>
      </c>
      <c r="D17" s="3" t="s">
        <v>123</v>
      </c>
      <c r="F17" s="3" t="s">
        <v>4</v>
      </c>
      <c r="G17" s="3" t="s">
        <v>5</v>
      </c>
      <c r="H17" s="3" t="s">
        <v>6</v>
      </c>
      <c r="I17" s="3" t="s">
        <v>7</v>
      </c>
      <c r="J17" s="3" t="s">
        <v>8</v>
      </c>
      <c r="K17" s="3" t="s">
        <v>9</v>
      </c>
      <c r="L17" s="3" t="s">
        <v>10</v>
      </c>
      <c r="M17" s="3" t="s">
        <v>11</v>
      </c>
      <c r="N17" s="85"/>
      <c r="O17" s="3"/>
      <c r="P17" s="3"/>
      <c r="Q17" s="3"/>
    </row>
    <row r="18" spans="2:17">
      <c r="B18" t="s">
        <v>33</v>
      </c>
      <c r="C18" s="4">
        <v>1</v>
      </c>
      <c r="D18" s="4" t="s">
        <v>92</v>
      </c>
      <c r="F18" s="30">
        <f>IF(F67&gt;$E$14,F51+$E$13,F67/$E$9*$E$8)</f>
        <v>489</v>
      </c>
      <c r="G18" s="30">
        <f>IF(G67&gt;$E$14,G51+$E$13,G67/$E$9*$E$8)</f>
        <v>483</v>
      </c>
      <c r="H18" s="30">
        <f>IF(H67&gt;$E$14,H51+$E$13,H67/$E$9*$E$8)</f>
        <v>646</v>
      </c>
      <c r="I18" s="30">
        <f>IF(I67&gt;$E$14,I51+$E$13,I67/$E$9*$E$8)</f>
        <v>31.36</v>
      </c>
      <c r="J18" s="30">
        <f t="shared" ref="J18:M18" si="0">IF(J67&gt;$E$14,J51+$E$13,J67/$E$9*$E$8)</f>
        <v>429</v>
      </c>
      <c r="K18" s="30">
        <f t="shared" si="0"/>
        <v>540</v>
      </c>
      <c r="L18" s="30">
        <f t="shared" si="0"/>
        <v>371</v>
      </c>
      <c r="M18" s="30">
        <f t="shared" si="0"/>
        <v>577</v>
      </c>
      <c r="N18" s="86"/>
      <c r="O18" s="11"/>
      <c r="P18" s="11"/>
      <c r="Q18" s="49"/>
    </row>
    <row r="19" spans="2:17">
      <c r="B19" t="s">
        <v>14</v>
      </c>
      <c r="C19" s="4">
        <v>2</v>
      </c>
      <c r="D19" s="4" t="s">
        <v>93</v>
      </c>
      <c r="F19" s="30">
        <f t="shared" ref="F19:G29" si="1">IF(F68&gt;$E$14,F52+$E$13,F68/$E$9*$E$8)</f>
        <v>298</v>
      </c>
      <c r="G19" s="30">
        <f t="shared" si="1"/>
        <v>519</v>
      </c>
      <c r="H19" s="30">
        <f t="shared" ref="H19:M19" si="2">IF(H68&gt;$E$14,H52+$E$13,H68/$E$9*$E$8)</f>
        <v>613</v>
      </c>
      <c r="I19" s="30">
        <f t="shared" si="2"/>
        <v>515</v>
      </c>
      <c r="J19" s="30">
        <f t="shared" si="2"/>
        <v>328</v>
      </c>
      <c r="K19" s="30">
        <f t="shared" si="2"/>
        <v>505</v>
      </c>
      <c r="L19" s="30">
        <f t="shared" si="2"/>
        <v>445</v>
      </c>
      <c r="M19" s="30">
        <f t="shared" si="2"/>
        <v>570</v>
      </c>
      <c r="N19" s="86"/>
      <c r="O19" s="11"/>
      <c r="P19" s="11"/>
      <c r="Q19" s="49"/>
    </row>
    <row r="20" spans="2:17">
      <c r="B20" t="s">
        <v>15</v>
      </c>
      <c r="C20" s="4">
        <v>3</v>
      </c>
      <c r="D20" s="4" t="s">
        <v>94</v>
      </c>
      <c r="F20" s="30">
        <f t="shared" si="1"/>
        <v>651</v>
      </c>
      <c r="G20" s="30">
        <f t="shared" si="1"/>
        <v>531</v>
      </c>
      <c r="H20" s="30">
        <f t="shared" ref="H20:M20" si="3">IF(H69&gt;$E$14,H53+$E$13,H69/$E$9*$E$8)</f>
        <v>671</v>
      </c>
      <c r="I20" s="30">
        <f t="shared" si="3"/>
        <v>695</v>
      </c>
      <c r="J20" s="30">
        <f t="shared" si="3"/>
        <v>537</v>
      </c>
      <c r="K20" s="30">
        <f t="shared" si="3"/>
        <v>617</v>
      </c>
      <c r="L20" s="30">
        <f t="shared" si="3"/>
        <v>503</v>
      </c>
      <c r="M20" s="30">
        <f t="shared" si="3"/>
        <v>537</v>
      </c>
      <c r="N20" s="86"/>
      <c r="O20" s="11"/>
      <c r="P20" s="11"/>
      <c r="Q20" s="49"/>
    </row>
    <row r="21" spans="2:17">
      <c r="B21" t="s">
        <v>18</v>
      </c>
      <c r="C21" s="4">
        <v>4</v>
      </c>
      <c r="D21" s="4" t="s">
        <v>95</v>
      </c>
      <c r="F21" s="30">
        <f t="shared" si="1"/>
        <v>598</v>
      </c>
      <c r="G21" s="30">
        <f t="shared" si="1"/>
        <v>682</v>
      </c>
      <c r="H21" s="30">
        <f t="shared" ref="H21:M21" si="4">IF(H70&gt;$E$14,H54+$E$13,H70/$E$9*$E$8)</f>
        <v>665</v>
      </c>
      <c r="I21" s="30">
        <f t="shared" si="4"/>
        <v>695</v>
      </c>
      <c r="J21" s="30">
        <f t="shared" si="4"/>
        <v>15.52</v>
      </c>
      <c r="K21" s="30">
        <f t="shared" si="4"/>
        <v>625</v>
      </c>
      <c r="L21" s="30">
        <f t="shared" si="4"/>
        <v>622</v>
      </c>
      <c r="M21" s="30">
        <f t="shared" si="4"/>
        <v>421</v>
      </c>
      <c r="N21" s="86"/>
      <c r="O21" s="11"/>
      <c r="P21" s="11"/>
      <c r="Q21" s="49"/>
    </row>
    <row r="22" spans="2:17">
      <c r="B22" t="s">
        <v>20</v>
      </c>
      <c r="C22" s="4">
        <v>5</v>
      </c>
      <c r="D22" s="4" t="s">
        <v>96</v>
      </c>
      <c r="F22" s="30">
        <f t="shared" si="1"/>
        <v>786</v>
      </c>
      <c r="G22" s="30">
        <f t="shared" si="1"/>
        <v>721</v>
      </c>
      <c r="H22" s="30">
        <f t="shared" ref="H22:M22" si="5">IF(H71&gt;$E$14,H55+$E$13,H71/$E$9*$E$8)</f>
        <v>665</v>
      </c>
      <c r="I22" s="30">
        <f t="shared" si="5"/>
        <v>656</v>
      </c>
      <c r="J22" s="30">
        <f t="shared" si="5"/>
        <v>941</v>
      </c>
      <c r="K22" s="30">
        <f t="shared" si="5"/>
        <v>1068</v>
      </c>
      <c r="L22" s="30">
        <f t="shared" si="5"/>
        <v>751</v>
      </c>
      <c r="M22" s="30">
        <f t="shared" si="5"/>
        <v>836</v>
      </c>
      <c r="N22" s="86"/>
      <c r="O22" s="11"/>
      <c r="P22" s="11"/>
      <c r="Q22" s="49"/>
    </row>
    <row r="23" spans="2:17">
      <c r="B23" t="s">
        <v>62</v>
      </c>
      <c r="C23" s="4">
        <v>6</v>
      </c>
      <c r="D23" s="4" t="s">
        <v>97</v>
      </c>
      <c r="F23" s="30">
        <f t="shared" si="1"/>
        <v>756</v>
      </c>
      <c r="G23" s="30">
        <f t="shared" si="1"/>
        <v>804</v>
      </c>
      <c r="H23" s="30">
        <f t="shared" ref="H23:M23" si="6">IF(H72&gt;$E$14,H56+$E$13,H72/$E$9*$E$8)</f>
        <v>696</v>
      </c>
      <c r="I23" s="30">
        <f t="shared" si="6"/>
        <v>654</v>
      </c>
      <c r="J23" s="30">
        <f t="shared" si="6"/>
        <v>789</v>
      </c>
      <c r="K23" s="30">
        <f t="shared" si="6"/>
        <v>822</v>
      </c>
      <c r="L23" s="30">
        <f t="shared" si="6"/>
        <v>662</v>
      </c>
      <c r="M23" s="30">
        <f t="shared" si="6"/>
        <v>863</v>
      </c>
      <c r="N23" s="86"/>
      <c r="O23" s="11"/>
      <c r="P23" s="11"/>
      <c r="Q23" s="49"/>
    </row>
    <row r="24" spans="2:17">
      <c r="B24" t="s">
        <v>22</v>
      </c>
      <c r="C24" s="4">
        <v>7</v>
      </c>
      <c r="D24" s="4" t="s">
        <v>98</v>
      </c>
      <c r="F24" s="30">
        <f t="shared" si="1"/>
        <v>26.24</v>
      </c>
      <c r="G24" s="30">
        <f t="shared" si="1"/>
        <v>43.04</v>
      </c>
      <c r="H24" s="30">
        <f t="shared" ref="H24:M24" si="7">IF(H73&gt;$E$14,H57+$E$13,H73/$E$9*$E$8)</f>
        <v>582</v>
      </c>
      <c r="I24" s="30">
        <f t="shared" si="7"/>
        <v>515</v>
      </c>
      <c r="J24" s="30">
        <f t="shared" si="7"/>
        <v>481</v>
      </c>
      <c r="K24" s="30">
        <f t="shared" si="7"/>
        <v>441</v>
      </c>
      <c r="L24" s="30">
        <f t="shared" si="7"/>
        <v>481</v>
      </c>
      <c r="M24" s="30">
        <f t="shared" si="7"/>
        <v>524</v>
      </c>
      <c r="N24" s="86"/>
      <c r="O24" s="11"/>
      <c r="P24" s="11"/>
      <c r="Q24" s="49"/>
    </row>
    <row r="25" spans="2:17">
      <c r="B25" t="s">
        <v>34</v>
      </c>
      <c r="C25" s="4">
        <v>8</v>
      </c>
      <c r="D25" s="4" t="s">
        <v>92</v>
      </c>
      <c r="F25" s="30">
        <f t="shared" si="1"/>
        <v>520</v>
      </c>
      <c r="G25" s="30">
        <f t="shared" si="1"/>
        <v>491</v>
      </c>
      <c r="H25" s="30">
        <f t="shared" ref="H25:M25" si="8">IF(H74&gt;$E$14,H58+$E$13,H74/$E$9*$E$8)</f>
        <v>646</v>
      </c>
      <c r="I25" s="30">
        <f t="shared" si="8"/>
        <v>30.4</v>
      </c>
      <c r="J25" s="30">
        <f t="shared" si="8"/>
        <v>455</v>
      </c>
      <c r="K25" s="30">
        <f t="shared" si="8"/>
        <v>540</v>
      </c>
      <c r="L25" s="30">
        <f t="shared" si="8"/>
        <v>405</v>
      </c>
      <c r="M25" s="30">
        <f t="shared" si="8"/>
        <v>589</v>
      </c>
      <c r="N25" s="86"/>
      <c r="O25" s="11"/>
      <c r="P25" s="11"/>
      <c r="Q25" s="49"/>
    </row>
    <row r="26" spans="2:17">
      <c r="B26" t="s">
        <v>23</v>
      </c>
      <c r="C26" s="4">
        <v>9</v>
      </c>
      <c r="D26" s="4" t="s">
        <v>99</v>
      </c>
      <c r="F26" s="30">
        <f t="shared" si="1"/>
        <v>28.48</v>
      </c>
      <c r="G26" s="30">
        <f t="shared" si="1"/>
        <v>299</v>
      </c>
      <c r="H26" s="30">
        <f t="shared" ref="H26:M26" si="9">IF(H75&gt;$E$14,H59+$E$13,H75/$E$9*$E$8)</f>
        <v>471</v>
      </c>
      <c r="I26" s="30">
        <f t="shared" si="9"/>
        <v>533</v>
      </c>
      <c r="J26" s="30">
        <f t="shared" si="9"/>
        <v>461</v>
      </c>
      <c r="K26" s="30">
        <f t="shared" si="9"/>
        <v>548</v>
      </c>
      <c r="L26" s="30">
        <f t="shared" si="9"/>
        <v>537</v>
      </c>
      <c r="M26" s="30">
        <f t="shared" si="9"/>
        <v>529</v>
      </c>
      <c r="N26" s="86"/>
      <c r="O26" s="11"/>
      <c r="P26" s="11"/>
      <c r="Q26" s="49"/>
    </row>
    <row r="27" spans="2:17">
      <c r="B27" t="s">
        <v>24</v>
      </c>
      <c r="C27" s="4">
        <v>10</v>
      </c>
      <c r="D27" s="4" t="s">
        <v>100</v>
      </c>
      <c r="F27" s="30">
        <f t="shared" si="1"/>
        <v>687</v>
      </c>
      <c r="G27" s="30">
        <f t="shared" si="1"/>
        <v>718</v>
      </c>
      <c r="H27" s="30">
        <f t="shared" ref="H27:M27" si="10">IF(H76&gt;$E$14,H60+$E$13,H76/$E$9*$E$8)</f>
        <v>799</v>
      </c>
      <c r="I27" s="30">
        <f t="shared" si="10"/>
        <v>555</v>
      </c>
      <c r="J27" s="30">
        <f t="shared" si="10"/>
        <v>598</v>
      </c>
      <c r="K27" s="30">
        <f t="shared" si="10"/>
        <v>715</v>
      </c>
      <c r="L27" s="30">
        <f t="shared" si="10"/>
        <v>493</v>
      </c>
      <c r="M27" s="30">
        <f t="shared" si="10"/>
        <v>798</v>
      </c>
      <c r="N27" s="86"/>
      <c r="O27" s="11"/>
      <c r="P27" s="11"/>
      <c r="Q27" s="49"/>
    </row>
    <row r="28" spans="2:17">
      <c r="B28" t="s">
        <v>25</v>
      </c>
      <c r="C28" s="4">
        <v>11</v>
      </c>
      <c r="D28" s="4" t="s">
        <v>101</v>
      </c>
      <c r="F28" s="30">
        <f t="shared" si="1"/>
        <v>673</v>
      </c>
      <c r="G28" s="30">
        <f t="shared" si="1"/>
        <v>638</v>
      </c>
      <c r="H28" s="30">
        <f t="shared" ref="H28:M28" si="11">IF(H77&gt;$E$14,H61+$E$13,H77/$E$9*$E$8)</f>
        <v>715</v>
      </c>
      <c r="I28" s="30">
        <f t="shared" si="11"/>
        <v>535</v>
      </c>
      <c r="J28" s="30">
        <f t="shared" si="11"/>
        <v>412</v>
      </c>
      <c r="K28" s="30">
        <f t="shared" si="11"/>
        <v>589</v>
      </c>
      <c r="L28" s="30">
        <f t="shared" si="11"/>
        <v>507</v>
      </c>
      <c r="M28" s="30">
        <f t="shared" si="11"/>
        <v>469</v>
      </c>
      <c r="N28" s="86"/>
      <c r="O28" s="11"/>
      <c r="P28" s="11"/>
      <c r="Q28" s="23"/>
    </row>
    <row r="29" spans="2:17">
      <c r="B29" t="s">
        <v>26</v>
      </c>
      <c r="C29" s="4">
        <v>12</v>
      </c>
      <c r="D29" s="4" t="s">
        <v>102</v>
      </c>
      <c r="F29" s="30">
        <f t="shared" si="1"/>
        <v>603</v>
      </c>
      <c r="G29" s="30">
        <f t="shared" si="1"/>
        <v>706</v>
      </c>
      <c r="H29" s="30">
        <f t="shared" ref="H29:M29" si="12">IF(H78&gt;$E$14,H62+$E$13,H78/$E$9*$E$8)</f>
        <v>598</v>
      </c>
      <c r="I29" s="30">
        <f t="shared" si="12"/>
        <v>620</v>
      </c>
      <c r="J29" s="30">
        <f t="shared" si="12"/>
        <v>25.44</v>
      </c>
      <c r="K29" s="30">
        <f t="shared" si="12"/>
        <v>655</v>
      </c>
      <c r="L29" s="30">
        <f t="shared" si="12"/>
        <v>547</v>
      </c>
      <c r="M29" s="30">
        <f t="shared" si="12"/>
        <v>508</v>
      </c>
      <c r="N29" s="86"/>
      <c r="O29" s="11"/>
      <c r="P29" s="11"/>
      <c r="Q29" s="23"/>
    </row>
    <row r="30" spans="2:17"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O30" s="4"/>
      <c r="P30" s="4"/>
    </row>
    <row r="31" spans="2:17">
      <c r="C31" s="4"/>
      <c r="D31" s="4"/>
      <c r="E31" s="4"/>
      <c r="F31" s="41" t="s">
        <v>179</v>
      </c>
      <c r="G31" s="42"/>
      <c r="H31" s="42"/>
      <c r="I31" s="42"/>
      <c r="J31" s="42"/>
      <c r="K31" s="42"/>
      <c r="L31" s="42"/>
      <c r="M31" s="43"/>
      <c r="O31" s="4"/>
      <c r="P31" s="4"/>
    </row>
    <row r="32" spans="2:17">
      <c r="B32" s="2" t="s">
        <v>1</v>
      </c>
      <c r="C32" s="3" t="s">
        <v>180</v>
      </c>
      <c r="D32" s="4"/>
      <c r="E32" s="4"/>
      <c r="F32" s="3" t="s">
        <v>4</v>
      </c>
      <c r="G32" s="3" t="s">
        <v>5</v>
      </c>
      <c r="H32" s="3" t="s">
        <v>6</v>
      </c>
      <c r="I32" s="3" t="s">
        <v>7</v>
      </c>
      <c r="J32" s="3" t="s">
        <v>8</v>
      </c>
      <c r="K32" s="3" t="s">
        <v>9</v>
      </c>
      <c r="L32" s="3" t="s">
        <v>10</v>
      </c>
      <c r="M32" s="3" t="s">
        <v>11</v>
      </c>
      <c r="O32" s="4"/>
      <c r="P32" s="4"/>
    </row>
    <row r="33" spans="2:16">
      <c r="B33" t="s">
        <v>33</v>
      </c>
      <c r="C33" s="4">
        <v>1</v>
      </c>
      <c r="D33" s="4"/>
      <c r="E33" s="4"/>
      <c r="F33" s="4">
        <f>IF(F67&lt;$E$14,1,0)</f>
        <v>0</v>
      </c>
      <c r="G33" s="4">
        <f t="shared" ref="G33:M33" si="13">IF(G67&lt;$E$14,1,0)</f>
        <v>0</v>
      </c>
      <c r="H33" s="4">
        <f>IF(H67&lt;$E$14,1,0)</f>
        <v>0</v>
      </c>
      <c r="I33" s="4">
        <f t="shared" si="13"/>
        <v>1</v>
      </c>
      <c r="J33" s="4">
        <f t="shared" si="13"/>
        <v>0</v>
      </c>
      <c r="K33" s="4">
        <f t="shared" si="13"/>
        <v>0</v>
      </c>
      <c r="L33" s="4">
        <f t="shared" si="13"/>
        <v>0</v>
      </c>
      <c r="M33" s="4">
        <f t="shared" si="13"/>
        <v>0</v>
      </c>
      <c r="O33" s="4"/>
      <c r="P33" s="4"/>
    </row>
    <row r="34" spans="2:16">
      <c r="B34" t="s">
        <v>14</v>
      </c>
      <c r="C34" s="4">
        <v>2</v>
      </c>
      <c r="D34" s="4"/>
      <c r="E34" s="4"/>
      <c r="F34" s="4">
        <f t="shared" ref="F34:M44" si="14">IF(F68&lt;$E$14,1,0)</f>
        <v>0</v>
      </c>
      <c r="G34" s="4">
        <f t="shared" si="14"/>
        <v>0</v>
      </c>
      <c r="H34" s="4">
        <f t="shared" si="14"/>
        <v>0</v>
      </c>
      <c r="I34" s="4">
        <f t="shared" si="14"/>
        <v>0</v>
      </c>
      <c r="J34" s="4">
        <f t="shared" si="14"/>
        <v>0</v>
      </c>
      <c r="K34" s="4">
        <f t="shared" si="14"/>
        <v>0</v>
      </c>
      <c r="L34" s="4">
        <f t="shared" si="14"/>
        <v>0</v>
      </c>
      <c r="M34" s="4">
        <f t="shared" si="14"/>
        <v>0</v>
      </c>
      <c r="O34" s="4"/>
      <c r="P34" s="4"/>
    </row>
    <row r="35" spans="2:16">
      <c r="B35" t="s">
        <v>15</v>
      </c>
      <c r="C35" s="4">
        <v>3</v>
      </c>
      <c r="D35" s="4"/>
      <c r="E35" s="4"/>
      <c r="F35" s="4">
        <f t="shared" si="14"/>
        <v>0</v>
      </c>
      <c r="G35" s="4">
        <f t="shared" si="14"/>
        <v>0</v>
      </c>
      <c r="H35" s="4">
        <f t="shared" si="14"/>
        <v>0</v>
      </c>
      <c r="I35" s="4">
        <f t="shared" si="14"/>
        <v>0</v>
      </c>
      <c r="J35" s="4">
        <f t="shared" si="14"/>
        <v>0</v>
      </c>
      <c r="K35" s="4">
        <f t="shared" si="14"/>
        <v>0</v>
      </c>
      <c r="L35" s="4">
        <f t="shared" si="14"/>
        <v>0</v>
      </c>
      <c r="M35" s="4">
        <f t="shared" si="14"/>
        <v>0</v>
      </c>
      <c r="O35" s="4"/>
      <c r="P35" s="4"/>
    </row>
    <row r="36" spans="2:16">
      <c r="B36" t="s">
        <v>18</v>
      </c>
      <c r="C36" s="4">
        <v>4</v>
      </c>
      <c r="D36" s="4"/>
      <c r="E36" s="4"/>
      <c r="F36" s="4">
        <f t="shared" si="14"/>
        <v>0</v>
      </c>
      <c r="G36" s="4">
        <f t="shared" si="14"/>
        <v>0</v>
      </c>
      <c r="H36" s="4">
        <f t="shared" si="14"/>
        <v>0</v>
      </c>
      <c r="I36" s="4">
        <f t="shared" si="14"/>
        <v>0</v>
      </c>
      <c r="J36" s="4">
        <f t="shared" si="14"/>
        <v>1</v>
      </c>
      <c r="K36" s="4">
        <f t="shared" si="14"/>
        <v>0</v>
      </c>
      <c r="L36" s="4">
        <f t="shared" si="14"/>
        <v>0</v>
      </c>
      <c r="M36" s="4">
        <f t="shared" si="14"/>
        <v>0</v>
      </c>
      <c r="O36" s="4"/>
      <c r="P36" s="4"/>
    </row>
    <row r="37" spans="2:16">
      <c r="B37" t="s">
        <v>20</v>
      </c>
      <c r="C37" s="4">
        <v>5</v>
      </c>
      <c r="D37" s="4"/>
      <c r="E37" s="4"/>
      <c r="F37" s="4">
        <f t="shared" si="14"/>
        <v>0</v>
      </c>
      <c r="G37" s="4">
        <f t="shared" si="14"/>
        <v>0</v>
      </c>
      <c r="H37" s="4">
        <f t="shared" si="14"/>
        <v>0</v>
      </c>
      <c r="I37" s="4">
        <f t="shared" si="14"/>
        <v>0</v>
      </c>
      <c r="J37" s="4">
        <f t="shared" si="14"/>
        <v>0</v>
      </c>
      <c r="K37" s="4">
        <f t="shared" si="14"/>
        <v>0</v>
      </c>
      <c r="L37" s="4">
        <f t="shared" si="14"/>
        <v>0</v>
      </c>
      <c r="M37" s="4">
        <f t="shared" si="14"/>
        <v>0</v>
      </c>
      <c r="O37" s="4"/>
      <c r="P37" s="4"/>
    </row>
    <row r="38" spans="2:16">
      <c r="B38" t="s">
        <v>62</v>
      </c>
      <c r="C38" s="4">
        <v>6</v>
      </c>
      <c r="D38" s="4"/>
      <c r="E38" s="4"/>
      <c r="F38" s="4">
        <f t="shared" si="14"/>
        <v>0</v>
      </c>
      <c r="G38" s="4">
        <f t="shared" si="14"/>
        <v>0</v>
      </c>
      <c r="H38" s="4">
        <f t="shared" si="14"/>
        <v>0</v>
      </c>
      <c r="I38" s="4">
        <f t="shared" si="14"/>
        <v>0</v>
      </c>
      <c r="J38" s="4">
        <f t="shared" si="14"/>
        <v>0</v>
      </c>
      <c r="K38" s="4">
        <f t="shared" si="14"/>
        <v>0</v>
      </c>
      <c r="L38" s="4">
        <f t="shared" si="14"/>
        <v>0</v>
      </c>
      <c r="M38" s="4">
        <f t="shared" si="14"/>
        <v>0</v>
      </c>
      <c r="O38" s="4"/>
      <c r="P38" s="4"/>
    </row>
    <row r="39" spans="2:16">
      <c r="B39" t="s">
        <v>22</v>
      </c>
      <c r="C39" s="4">
        <v>7</v>
      </c>
      <c r="D39" s="4"/>
      <c r="E39" s="4"/>
      <c r="F39" s="4">
        <f t="shared" si="14"/>
        <v>1</v>
      </c>
      <c r="G39" s="4">
        <f t="shared" si="14"/>
        <v>1</v>
      </c>
      <c r="H39" s="4">
        <f t="shared" si="14"/>
        <v>0</v>
      </c>
      <c r="I39" s="4">
        <f t="shared" si="14"/>
        <v>0</v>
      </c>
      <c r="J39" s="4">
        <f t="shared" si="14"/>
        <v>0</v>
      </c>
      <c r="K39" s="4">
        <f t="shared" si="14"/>
        <v>0</v>
      </c>
      <c r="L39" s="4">
        <f t="shared" si="14"/>
        <v>0</v>
      </c>
      <c r="M39" s="4">
        <f t="shared" si="14"/>
        <v>0</v>
      </c>
      <c r="O39" s="4"/>
      <c r="P39" s="4"/>
    </row>
    <row r="40" spans="2:16">
      <c r="B40" t="s">
        <v>34</v>
      </c>
      <c r="C40" s="4">
        <v>8</v>
      </c>
      <c r="D40" s="4"/>
      <c r="E40" s="4"/>
      <c r="F40" s="4">
        <f t="shared" si="14"/>
        <v>0</v>
      </c>
      <c r="G40" s="4">
        <f t="shared" si="14"/>
        <v>0</v>
      </c>
      <c r="H40" s="4">
        <f t="shared" si="14"/>
        <v>0</v>
      </c>
      <c r="I40" s="4">
        <f t="shared" si="14"/>
        <v>1</v>
      </c>
      <c r="J40" s="4">
        <f t="shared" si="14"/>
        <v>0</v>
      </c>
      <c r="K40" s="4">
        <f t="shared" si="14"/>
        <v>0</v>
      </c>
      <c r="L40" s="4">
        <f t="shared" si="14"/>
        <v>0</v>
      </c>
      <c r="M40" s="4">
        <f t="shared" si="14"/>
        <v>0</v>
      </c>
      <c r="O40" s="4"/>
      <c r="P40" s="4"/>
    </row>
    <row r="41" spans="2:16">
      <c r="B41" t="s">
        <v>23</v>
      </c>
      <c r="C41" s="4">
        <v>9</v>
      </c>
      <c r="D41" s="4"/>
      <c r="E41" s="4"/>
      <c r="F41" s="4">
        <f t="shared" si="14"/>
        <v>1</v>
      </c>
      <c r="G41" s="4">
        <f t="shared" si="14"/>
        <v>0</v>
      </c>
      <c r="H41" s="4">
        <f t="shared" si="14"/>
        <v>0</v>
      </c>
      <c r="I41" s="4">
        <f t="shared" si="14"/>
        <v>0</v>
      </c>
      <c r="J41" s="4">
        <f t="shared" si="14"/>
        <v>0</v>
      </c>
      <c r="K41" s="4">
        <f t="shared" si="14"/>
        <v>0</v>
      </c>
      <c r="L41" s="4">
        <f t="shared" si="14"/>
        <v>0</v>
      </c>
      <c r="M41" s="4">
        <f t="shared" si="14"/>
        <v>0</v>
      </c>
      <c r="O41" s="4"/>
      <c r="P41" s="4"/>
    </row>
    <row r="42" spans="2:16">
      <c r="B42" t="s">
        <v>24</v>
      </c>
      <c r="C42" s="4">
        <v>10</v>
      </c>
      <c r="D42" s="4"/>
      <c r="E42" s="4"/>
      <c r="F42" s="4">
        <f t="shared" si="14"/>
        <v>0</v>
      </c>
      <c r="G42" s="4">
        <f t="shared" si="14"/>
        <v>0</v>
      </c>
      <c r="H42" s="4">
        <f t="shared" si="14"/>
        <v>0</v>
      </c>
      <c r="I42" s="4">
        <f t="shared" si="14"/>
        <v>0</v>
      </c>
      <c r="J42" s="4">
        <f t="shared" si="14"/>
        <v>0</v>
      </c>
      <c r="K42" s="4">
        <f t="shared" si="14"/>
        <v>0</v>
      </c>
      <c r="L42" s="4">
        <f t="shared" si="14"/>
        <v>0</v>
      </c>
      <c r="M42" s="4">
        <f t="shared" si="14"/>
        <v>0</v>
      </c>
      <c r="O42" s="4"/>
      <c r="P42" s="4"/>
    </row>
    <row r="43" spans="2:16">
      <c r="B43" t="s">
        <v>25</v>
      </c>
      <c r="C43" s="4">
        <v>11</v>
      </c>
      <c r="D43" s="4"/>
      <c r="E43" s="4"/>
      <c r="F43" s="4">
        <f t="shared" si="14"/>
        <v>0</v>
      </c>
      <c r="G43" s="4">
        <f t="shared" si="14"/>
        <v>0</v>
      </c>
      <c r="H43" s="4">
        <f t="shared" si="14"/>
        <v>0</v>
      </c>
      <c r="I43" s="4">
        <f t="shared" si="14"/>
        <v>0</v>
      </c>
      <c r="J43" s="4">
        <f t="shared" si="14"/>
        <v>0</v>
      </c>
      <c r="K43" s="4">
        <f t="shared" si="14"/>
        <v>0</v>
      </c>
      <c r="L43" s="4">
        <f t="shared" si="14"/>
        <v>0</v>
      </c>
      <c r="M43" s="4">
        <f t="shared" si="14"/>
        <v>0</v>
      </c>
      <c r="O43" s="4"/>
      <c r="P43" s="4"/>
    </row>
    <row r="44" spans="2:16">
      <c r="B44" t="s">
        <v>26</v>
      </c>
      <c r="C44" s="4">
        <v>12</v>
      </c>
      <c r="D44" s="4"/>
      <c r="E44" s="4"/>
      <c r="F44" s="4">
        <f t="shared" si="14"/>
        <v>0</v>
      </c>
      <c r="G44" s="4">
        <f t="shared" si="14"/>
        <v>0</v>
      </c>
      <c r="H44" s="4">
        <f t="shared" si="14"/>
        <v>0</v>
      </c>
      <c r="I44" s="4">
        <f t="shared" si="14"/>
        <v>0</v>
      </c>
      <c r="J44" s="4">
        <f t="shared" si="14"/>
        <v>1</v>
      </c>
      <c r="K44" s="4">
        <f t="shared" si="14"/>
        <v>0</v>
      </c>
      <c r="L44" s="4">
        <f t="shared" si="14"/>
        <v>0</v>
      </c>
      <c r="M44" s="4">
        <f t="shared" si="14"/>
        <v>0</v>
      </c>
      <c r="O44" s="4"/>
      <c r="P44" s="4"/>
    </row>
    <row r="45" spans="2:16"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O45" s="4"/>
      <c r="P45" s="4"/>
    </row>
    <row r="46" spans="2:16">
      <c r="C46" s="24"/>
      <c r="D46" s="4" t="s">
        <v>104</v>
      </c>
      <c r="E46" s="25" t="s">
        <v>106</v>
      </c>
      <c r="I46" s="4"/>
      <c r="J46" s="4"/>
      <c r="K46" s="4"/>
      <c r="L46" s="4"/>
      <c r="M46" s="4"/>
      <c r="O46" s="4"/>
      <c r="P46" s="4"/>
    </row>
    <row r="47" spans="2:16">
      <c r="C47" s="5"/>
      <c r="E47" s="4"/>
      <c r="F47" s="4"/>
      <c r="G47" s="4"/>
      <c r="H47" s="4"/>
      <c r="I47" s="4"/>
      <c r="J47" s="4"/>
      <c r="K47" s="4"/>
      <c r="L47" s="4"/>
      <c r="M47" s="4"/>
      <c r="O47" s="4"/>
      <c r="P47" s="4"/>
    </row>
    <row r="48" spans="2:16">
      <c r="C48" s="5"/>
      <c r="E48" s="4"/>
      <c r="F48" s="4"/>
      <c r="G48" s="4"/>
      <c r="H48" s="4"/>
      <c r="I48" s="4"/>
      <c r="J48" s="4"/>
      <c r="K48" s="4"/>
      <c r="L48" s="4"/>
      <c r="M48" s="4"/>
      <c r="O48" s="4"/>
      <c r="P48" s="4"/>
    </row>
    <row r="49" spans="2:16">
      <c r="E49" s="4"/>
      <c r="F49" s="41" t="s">
        <v>0</v>
      </c>
      <c r="G49" s="42"/>
      <c r="H49" s="42"/>
      <c r="I49" s="42"/>
      <c r="J49" s="42"/>
      <c r="K49" s="42"/>
      <c r="L49" s="42"/>
      <c r="M49" s="43"/>
      <c r="N49" s="84"/>
      <c r="O49" s="4"/>
      <c r="P49" s="4"/>
    </row>
    <row r="50" spans="2:16">
      <c r="B50" s="2" t="s">
        <v>1</v>
      </c>
      <c r="F50" s="3" t="s">
        <v>4</v>
      </c>
      <c r="G50" s="3" t="s">
        <v>5</v>
      </c>
      <c r="H50" s="3" t="s">
        <v>6</v>
      </c>
      <c r="I50" s="3" t="s">
        <v>7</v>
      </c>
      <c r="J50" s="3" t="s">
        <v>8</v>
      </c>
      <c r="K50" s="3" t="s">
        <v>9</v>
      </c>
      <c r="L50" s="3" t="s">
        <v>10</v>
      </c>
      <c r="M50" s="3" t="s">
        <v>11</v>
      </c>
      <c r="N50" s="85"/>
      <c r="O50" s="4"/>
      <c r="P50" s="4"/>
    </row>
    <row r="51" spans="2:16">
      <c r="B51" t="s">
        <v>33</v>
      </c>
      <c r="F51" s="44">
        <v>389</v>
      </c>
      <c r="G51" s="44">
        <v>383</v>
      </c>
      <c r="H51" s="44">
        <v>546</v>
      </c>
      <c r="I51" s="44">
        <v>180</v>
      </c>
      <c r="J51" s="44">
        <v>329</v>
      </c>
      <c r="K51" s="44">
        <v>440</v>
      </c>
      <c r="L51" s="44">
        <v>271</v>
      </c>
      <c r="M51" s="44">
        <v>477</v>
      </c>
      <c r="N51" s="87"/>
      <c r="O51" s="4"/>
      <c r="P51" s="4"/>
    </row>
    <row r="52" spans="2:16">
      <c r="B52" t="s">
        <v>14</v>
      </c>
      <c r="F52" s="44">
        <v>198</v>
      </c>
      <c r="G52" s="44">
        <v>419</v>
      </c>
      <c r="H52" s="44">
        <v>513</v>
      </c>
      <c r="I52" s="44">
        <v>415</v>
      </c>
      <c r="J52" s="44">
        <v>228</v>
      </c>
      <c r="K52" s="44">
        <v>405</v>
      </c>
      <c r="L52" s="44">
        <v>345</v>
      </c>
      <c r="M52" s="44">
        <v>470</v>
      </c>
      <c r="N52" s="87"/>
      <c r="O52" s="4"/>
      <c r="P52" s="4"/>
    </row>
    <row r="53" spans="2:16">
      <c r="B53" t="s">
        <v>15</v>
      </c>
      <c r="F53" s="44">
        <v>551</v>
      </c>
      <c r="G53" s="44">
        <v>431</v>
      </c>
      <c r="H53" s="44">
        <v>571</v>
      </c>
      <c r="I53" s="44">
        <v>595</v>
      </c>
      <c r="J53" s="44">
        <v>437</v>
      </c>
      <c r="K53" s="44">
        <v>517</v>
      </c>
      <c r="L53" s="44">
        <v>403</v>
      </c>
      <c r="M53" s="44">
        <v>437</v>
      </c>
      <c r="N53" s="87"/>
    </row>
    <row r="54" spans="2:16">
      <c r="B54" t="s">
        <v>18</v>
      </c>
      <c r="F54" s="44">
        <v>498</v>
      </c>
      <c r="G54" s="44">
        <v>582</v>
      </c>
      <c r="H54" s="44">
        <v>565</v>
      </c>
      <c r="I54" s="44">
        <v>595</v>
      </c>
      <c r="J54" s="44">
        <v>200</v>
      </c>
      <c r="K54" s="44">
        <v>525</v>
      </c>
      <c r="L54" s="44">
        <v>522</v>
      </c>
      <c r="M54" s="44">
        <v>321</v>
      </c>
      <c r="N54" s="87"/>
    </row>
    <row r="55" spans="2:16">
      <c r="B55" t="s">
        <v>20</v>
      </c>
      <c r="F55" s="44">
        <v>686</v>
      </c>
      <c r="G55" s="44">
        <v>621</v>
      </c>
      <c r="H55" s="44">
        <v>565</v>
      </c>
      <c r="I55" s="44">
        <v>556</v>
      </c>
      <c r="J55" s="44">
        <v>841</v>
      </c>
      <c r="K55" s="44">
        <v>968</v>
      </c>
      <c r="L55" s="44">
        <v>651</v>
      </c>
      <c r="M55" s="44">
        <v>736</v>
      </c>
      <c r="N55" s="87"/>
    </row>
    <row r="56" spans="2:16">
      <c r="B56" t="s">
        <v>62</v>
      </c>
      <c r="F56" s="44">
        <v>656</v>
      </c>
      <c r="G56" s="44">
        <v>704</v>
      </c>
      <c r="H56" s="44">
        <v>596</v>
      </c>
      <c r="I56" s="44">
        <v>554</v>
      </c>
      <c r="J56" s="44">
        <v>689</v>
      </c>
      <c r="K56" s="44">
        <v>722</v>
      </c>
      <c r="L56" s="44">
        <v>562</v>
      </c>
      <c r="M56" s="44">
        <v>763</v>
      </c>
      <c r="N56" s="87"/>
    </row>
    <row r="57" spans="2:16">
      <c r="B57" t="s">
        <v>22</v>
      </c>
      <c r="F57" s="44">
        <v>185</v>
      </c>
      <c r="G57" s="44">
        <v>227</v>
      </c>
      <c r="H57" s="44">
        <v>482</v>
      </c>
      <c r="I57" s="44">
        <v>415</v>
      </c>
      <c r="J57" s="44">
        <v>381</v>
      </c>
      <c r="K57" s="44">
        <v>341</v>
      </c>
      <c r="L57" s="44">
        <v>381</v>
      </c>
      <c r="M57" s="44">
        <v>424</v>
      </c>
      <c r="N57" s="87"/>
    </row>
    <row r="58" spans="2:16">
      <c r="B58" t="s">
        <v>34</v>
      </c>
      <c r="F58" s="44">
        <v>420</v>
      </c>
      <c r="G58" s="44">
        <v>391</v>
      </c>
      <c r="H58" s="44">
        <v>546</v>
      </c>
      <c r="I58" s="44">
        <v>180</v>
      </c>
      <c r="J58" s="44">
        <v>355</v>
      </c>
      <c r="K58" s="44">
        <v>440</v>
      </c>
      <c r="L58" s="44">
        <v>305</v>
      </c>
      <c r="M58" s="44">
        <v>489</v>
      </c>
      <c r="N58" s="87"/>
    </row>
    <row r="59" spans="2:16">
      <c r="B59" t="s">
        <v>23</v>
      </c>
      <c r="F59" s="44">
        <v>310</v>
      </c>
      <c r="G59" s="44">
        <v>199</v>
      </c>
      <c r="H59" s="44">
        <v>371</v>
      </c>
      <c r="I59" s="44">
        <v>433</v>
      </c>
      <c r="J59" s="44">
        <v>361</v>
      </c>
      <c r="K59" s="44">
        <v>448</v>
      </c>
      <c r="L59" s="44">
        <v>437</v>
      </c>
      <c r="M59" s="44">
        <v>429</v>
      </c>
      <c r="N59" s="87"/>
    </row>
    <row r="60" spans="2:16">
      <c r="B60" t="s">
        <v>24</v>
      </c>
      <c r="F60" s="44">
        <v>587</v>
      </c>
      <c r="G60" s="44">
        <v>618</v>
      </c>
      <c r="H60" s="44">
        <v>699</v>
      </c>
      <c r="I60" s="44">
        <v>455</v>
      </c>
      <c r="J60" s="44">
        <v>498</v>
      </c>
      <c r="K60" s="44">
        <v>615</v>
      </c>
      <c r="L60" s="44">
        <v>393</v>
      </c>
      <c r="M60" s="44">
        <v>698</v>
      </c>
      <c r="N60" s="87"/>
    </row>
    <row r="61" spans="2:16">
      <c r="B61" t="s">
        <v>25</v>
      </c>
      <c r="F61" s="44">
        <v>573</v>
      </c>
      <c r="G61" s="44">
        <v>538</v>
      </c>
      <c r="H61" s="44">
        <v>615</v>
      </c>
      <c r="I61" s="44">
        <v>435</v>
      </c>
      <c r="J61" s="44">
        <v>312</v>
      </c>
      <c r="K61" s="44">
        <v>489</v>
      </c>
      <c r="L61" s="44">
        <v>407</v>
      </c>
      <c r="M61" s="44">
        <v>369</v>
      </c>
      <c r="N61" s="87"/>
    </row>
    <row r="62" spans="2:16">
      <c r="B62" t="s">
        <v>26</v>
      </c>
      <c r="F62" s="44">
        <v>503</v>
      </c>
      <c r="G62" s="44">
        <v>606</v>
      </c>
      <c r="H62" s="44">
        <v>498</v>
      </c>
      <c r="I62" s="44">
        <v>520</v>
      </c>
      <c r="J62" s="44">
        <v>217</v>
      </c>
      <c r="K62" s="44">
        <v>555</v>
      </c>
      <c r="L62" s="44">
        <v>447</v>
      </c>
      <c r="M62" s="44">
        <v>408</v>
      </c>
      <c r="N62" s="87"/>
    </row>
    <row r="63" spans="2:16">
      <c r="F63" s="1"/>
      <c r="G63" s="1"/>
      <c r="H63" s="1"/>
      <c r="I63" s="1"/>
      <c r="J63" s="1"/>
      <c r="K63" s="1"/>
      <c r="L63" s="1"/>
      <c r="M63" s="1"/>
      <c r="N63" s="88"/>
    </row>
    <row r="65" spans="2:14">
      <c r="E65" s="4"/>
      <c r="F65" s="41" t="s">
        <v>130</v>
      </c>
      <c r="G65" s="42"/>
      <c r="H65" s="42"/>
      <c r="I65" s="42"/>
      <c r="J65" s="42"/>
      <c r="K65" s="42"/>
      <c r="L65" s="42"/>
      <c r="M65" s="43"/>
      <c r="N65" s="84"/>
    </row>
    <row r="66" spans="2:14">
      <c r="B66" s="2" t="s">
        <v>1</v>
      </c>
      <c r="F66" s="3" t="s">
        <v>4</v>
      </c>
      <c r="G66" s="3" t="s">
        <v>5</v>
      </c>
      <c r="H66" s="3" t="s">
        <v>6</v>
      </c>
      <c r="I66" s="3" t="s">
        <v>7</v>
      </c>
      <c r="J66" s="3" t="s">
        <v>8</v>
      </c>
      <c r="K66" s="3" t="s">
        <v>9</v>
      </c>
      <c r="L66" s="3" t="s">
        <v>10</v>
      </c>
      <c r="M66" s="3" t="s">
        <v>11</v>
      </c>
      <c r="N66" s="85"/>
    </row>
    <row r="67" spans="2:14">
      <c r="B67" t="s">
        <v>33</v>
      </c>
      <c r="F67" s="46">
        <v>2935</v>
      </c>
      <c r="G67" s="46">
        <v>2734</v>
      </c>
      <c r="H67" s="46">
        <v>3097</v>
      </c>
      <c r="I67" s="46">
        <v>196</v>
      </c>
      <c r="J67" s="46">
        <v>1095</v>
      </c>
      <c r="K67" s="46">
        <v>1956</v>
      </c>
      <c r="L67" s="46">
        <v>614</v>
      </c>
      <c r="M67" s="46">
        <v>1800</v>
      </c>
      <c r="N67" s="89"/>
    </row>
    <row r="68" spans="2:14">
      <c r="B68" t="s">
        <v>14</v>
      </c>
      <c r="F68" s="46">
        <v>2357</v>
      </c>
      <c r="G68" s="46">
        <v>2155</v>
      </c>
      <c r="H68" s="46">
        <v>2518</v>
      </c>
      <c r="I68" s="46">
        <v>766</v>
      </c>
      <c r="J68" s="46">
        <v>516</v>
      </c>
      <c r="K68" s="46">
        <v>1377</v>
      </c>
      <c r="L68" s="46">
        <v>752</v>
      </c>
      <c r="M68" s="46">
        <v>1500</v>
      </c>
      <c r="N68" s="89"/>
    </row>
    <row r="69" spans="2:14">
      <c r="B69" t="s">
        <v>15</v>
      </c>
      <c r="F69" s="46">
        <v>2369</v>
      </c>
      <c r="G69" s="46">
        <v>2168</v>
      </c>
      <c r="H69" s="46">
        <v>2531</v>
      </c>
      <c r="I69" s="46">
        <v>921</v>
      </c>
      <c r="J69" s="46">
        <v>529</v>
      </c>
      <c r="K69" s="46">
        <v>1390</v>
      </c>
      <c r="L69" s="46">
        <v>997</v>
      </c>
      <c r="M69" s="46">
        <v>1700</v>
      </c>
      <c r="N69" s="89"/>
    </row>
    <row r="70" spans="2:14">
      <c r="B70" t="s">
        <v>18</v>
      </c>
      <c r="F70" s="46">
        <v>2075</v>
      </c>
      <c r="G70" s="46">
        <v>1874</v>
      </c>
      <c r="H70" s="46">
        <v>2161</v>
      </c>
      <c r="I70" s="46">
        <v>1162</v>
      </c>
      <c r="J70" s="46">
        <v>97</v>
      </c>
      <c r="K70" s="46">
        <v>1096</v>
      </c>
      <c r="L70" s="46">
        <v>982</v>
      </c>
      <c r="M70" s="46">
        <v>1300</v>
      </c>
      <c r="N70" s="89"/>
    </row>
    <row r="71" spans="2:14">
      <c r="B71" t="s">
        <v>20</v>
      </c>
      <c r="F71" s="46">
        <v>3263</v>
      </c>
      <c r="G71" s="46">
        <v>3062</v>
      </c>
      <c r="H71" s="46">
        <v>3545</v>
      </c>
      <c r="I71" s="46">
        <v>1024</v>
      </c>
      <c r="J71" s="46">
        <v>1543</v>
      </c>
      <c r="K71" s="46">
        <v>2274</v>
      </c>
      <c r="L71" s="46">
        <v>1472</v>
      </c>
      <c r="M71" s="46">
        <v>2100</v>
      </c>
      <c r="N71" s="89"/>
    </row>
    <row r="72" spans="2:14">
      <c r="B72" t="s">
        <v>21</v>
      </c>
      <c r="F72" s="46">
        <v>2661</v>
      </c>
      <c r="G72" s="46">
        <v>2460</v>
      </c>
      <c r="H72" s="46">
        <v>3038</v>
      </c>
      <c r="I72" s="46">
        <v>1236</v>
      </c>
      <c r="J72" s="46">
        <v>1169</v>
      </c>
      <c r="K72" s="46">
        <v>1672</v>
      </c>
      <c r="L72" s="46">
        <v>1687</v>
      </c>
      <c r="M72" s="46">
        <v>2000</v>
      </c>
      <c r="N72" s="89"/>
    </row>
    <row r="73" spans="2:14">
      <c r="B73" t="s">
        <v>22</v>
      </c>
      <c r="F73" s="46">
        <v>164</v>
      </c>
      <c r="G73" s="46">
        <v>269</v>
      </c>
      <c r="H73" s="46">
        <v>1534</v>
      </c>
      <c r="I73" s="46">
        <v>3022</v>
      </c>
      <c r="J73" s="46">
        <v>1895</v>
      </c>
      <c r="K73" s="46">
        <v>902</v>
      </c>
      <c r="L73" s="46">
        <v>2967</v>
      </c>
      <c r="M73" s="46">
        <v>2100</v>
      </c>
      <c r="N73" s="89"/>
    </row>
    <row r="74" spans="2:14">
      <c r="B74" t="s">
        <v>34</v>
      </c>
      <c r="F74" s="46">
        <v>2949</v>
      </c>
      <c r="G74" s="46">
        <v>2748</v>
      </c>
      <c r="H74" s="46">
        <v>3009</v>
      </c>
      <c r="I74" s="46">
        <v>190</v>
      </c>
      <c r="J74" s="46">
        <v>1111</v>
      </c>
      <c r="K74" s="46">
        <v>1970</v>
      </c>
      <c r="L74" s="46">
        <v>4000</v>
      </c>
      <c r="M74" s="46">
        <v>1800</v>
      </c>
      <c r="N74" s="89"/>
    </row>
    <row r="75" spans="2:14">
      <c r="B75" t="s">
        <v>23</v>
      </c>
      <c r="F75" s="46">
        <v>178</v>
      </c>
      <c r="G75" s="46">
        <v>405</v>
      </c>
      <c r="H75" s="46">
        <v>1680</v>
      </c>
      <c r="I75" s="46">
        <v>3237</v>
      </c>
      <c r="J75" s="46">
        <v>2110</v>
      </c>
      <c r="K75" s="46">
        <v>1117</v>
      </c>
      <c r="L75" s="46">
        <v>5000</v>
      </c>
      <c r="M75" s="46">
        <v>2200</v>
      </c>
      <c r="N75" s="89"/>
    </row>
    <row r="76" spans="2:14">
      <c r="B76" t="s">
        <v>24</v>
      </c>
      <c r="F76" s="46">
        <v>2627</v>
      </c>
      <c r="G76" s="46">
        <v>2426</v>
      </c>
      <c r="H76" s="46">
        <v>2789</v>
      </c>
      <c r="I76" s="46">
        <v>754</v>
      </c>
      <c r="J76" s="46">
        <v>787</v>
      </c>
      <c r="K76" s="46">
        <v>1648</v>
      </c>
      <c r="L76" s="46">
        <v>3000</v>
      </c>
      <c r="M76" s="46">
        <v>1750</v>
      </c>
      <c r="N76" s="89"/>
    </row>
    <row r="77" spans="2:14">
      <c r="B77" t="s">
        <v>25</v>
      </c>
      <c r="F77" s="46">
        <v>2427</v>
      </c>
      <c r="G77" s="46">
        <v>2226</v>
      </c>
      <c r="H77" s="46">
        <v>2676</v>
      </c>
      <c r="I77" s="46">
        <v>993</v>
      </c>
      <c r="J77" s="46">
        <v>746</v>
      </c>
      <c r="K77" s="46">
        <v>1438</v>
      </c>
      <c r="L77" s="46">
        <v>2000</v>
      </c>
      <c r="M77" s="46">
        <v>1750</v>
      </c>
      <c r="N77" s="89"/>
    </row>
    <row r="78" spans="2:14">
      <c r="B78" t="s">
        <v>26</v>
      </c>
      <c r="F78" s="46">
        <v>2136</v>
      </c>
      <c r="G78" s="46">
        <v>1935</v>
      </c>
      <c r="H78" s="46">
        <v>2195</v>
      </c>
      <c r="I78" s="46">
        <v>1143</v>
      </c>
      <c r="J78" s="46">
        <v>159</v>
      </c>
      <c r="K78" s="46">
        <v>1157</v>
      </c>
      <c r="L78" s="46">
        <v>1500</v>
      </c>
      <c r="M78" s="46">
        <v>1600</v>
      </c>
      <c r="N78" s="89"/>
    </row>
  </sheetData>
  <conditionalFormatting sqref="F18:M29">
    <cfRule type="expression" dxfId="0" priority="4">
      <formula>F67&lt;$E$14</formula>
    </cfRule>
  </conditionalFormatting>
  <printOptions headings="1" gridLines="1"/>
  <pageMargins left="0.7" right="0.7" top="0.75" bottom="0.75" header="0.3" footer="0.3"/>
  <pageSetup orientation="portrait" cellComments="asDisplayed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2:AL63"/>
  <sheetViews>
    <sheetView zoomScale="75" zoomScaleNormal="75" workbookViewId="0">
      <selection activeCell="P25" sqref="B4:P25"/>
    </sheetView>
  </sheetViews>
  <sheetFormatPr defaultRowHeight="15"/>
  <cols>
    <col min="1" max="1" width="2.7109375" customWidth="1"/>
    <col min="2" max="2" width="21.5703125" customWidth="1"/>
    <col min="3" max="3" width="10.5703125" bestFit="1" customWidth="1"/>
    <col min="4" max="4" width="3.5703125" customWidth="1"/>
    <col min="5" max="5" width="17.85546875" bestFit="1" customWidth="1"/>
    <col min="6" max="6" width="12.85546875" bestFit="1" customWidth="1"/>
    <col min="7" max="7" width="12.5703125" bestFit="1" customWidth="1"/>
    <col min="8" max="8" width="13.28515625" bestFit="1" customWidth="1"/>
    <col min="9" max="9" width="7.85546875" style="34" customWidth="1"/>
    <col min="10" max="10" width="12.28515625" bestFit="1" customWidth="1"/>
    <col min="11" max="11" width="8.28515625" bestFit="1" customWidth="1"/>
    <col min="12" max="12" width="15" bestFit="1" customWidth="1"/>
    <col min="13" max="13" width="6.42578125" style="34" customWidth="1"/>
    <col min="14" max="14" width="11" style="19" bestFit="1" customWidth="1"/>
    <col min="15" max="15" width="9.85546875" style="19" bestFit="1" customWidth="1"/>
    <col min="16" max="16" width="8.85546875" style="4" bestFit="1" customWidth="1"/>
    <col min="17" max="17" width="18.85546875" style="4" customWidth="1"/>
    <col min="18" max="18" width="20.140625" style="4" customWidth="1"/>
    <col min="19" max="19" width="23" style="4" customWidth="1"/>
    <col min="20" max="27" width="15.7109375" style="4" customWidth="1"/>
    <col min="28" max="28" width="20.7109375" style="4" customWidth="1"/>
    <col min="29" max="29" width="17.85546875" style="4" customWidth="1"/>
    <col min="30" max="30" width="22.7109375" style="4" customWidth="1"/>
    <col min="31" max="34" width="15.7109375" style="4" customWidth="1"/>
    <col min="35" max="35" width="36.85546875" customWidth="1"/>
    <col min="36" max="36" width="20.28515625" customWidth="1"/>
  </cols>
  <sheetData>
    <row r="2" spans="1:36" ht="18.75">
      <c r="C2" s="39"/>
    </row>
    <row r="3" spans="1:36" ht="18.75">
      <c r="B3" s="39" t="s">
        <v>122</v>
      </c>
      <c r="C3" s="1"/>
    </row>
    <row r="4" spans="1:36" ht="17.25">
      <c r="E4" s="12" t="s">
        <v>120</v>
      </c>
      <c r="F4" s="12"/>
      <c r="G4" s="12"/>
      <c r="H4" s="12"/>
      <c r="I4" s="35"/>
      <c r="J4" s="12" t="s">
        <v>203</v>
      </c>
      <c r="K4" s="12"/>
      <c r="L4" s="12"/>
      <c r="M4" s="35"/>
      <c r="N4" s="12" t="s">
        <v>12</v>
      </c>
      <c r="O4" s="12"/>
      <c r="P4" s="15"/>
      <c r="Q4" s="22"/>
      <c r="R4" s="22"/>
    </row>
    <row r="5" spans="1:36" ht="17.25">
      <c r="E5" s="3" t="s">
        <v>85</v>
      </c>
      <c r="F5" s="3" t="s">
        <v>3</v>
      </c>
      <c r="G5" s="3" t="s">
        <v>121</v>
      </c>
      <c r="H5" s="12"/>
      <c r="I5" s="35"/>
      <c r="J5" s="3" t="s">
        <v>28</v>
      </c>
      <c r="K5" s="3" t="s">
        <v>2</v>
      </c>
      <c r="L5" s="12"/>
      <c r="M5" s="35"/>
      <c r="N5" s="12" t="s">
        <v>32</v>
      </c>
      <c r="O5" s="12" t="s">
        <v>91</v>
      </c>
      <c r="P5" s="15"/>
      <c r="Q5" s="22"/>
      <c r="R5" s="22"/>
    </row>
    <row r="6" spans="1:36">
      <c r="D6" s="38" t="s">
        <v>90</v>
      </c>
      <c r="E6" s="33">
        <f>3/5</f>
        <v>0.6</v>
      </c>
      <c r="F6" s="33">
        <f>1.5/5</f>
        <v>0.3</v>
      </c>
      <c r="G6" s="33">
        <f>0.5/5</f>
        <v>0.1</v>
      </c>
      <c r="H6" s="10">
        <f>SUM(E6:G6)</f>
        <v>0.99999999999999989</v>
      </c>
      <c r="I6" s="38" t="s">
        <v>90</v>
      </c>
      <c r="J6" s="33">
        <f>4/5</f>
        <v>0.8</v>
      </c>
      <c r="K6" s="33">
        <f>1/5</f>
        <v>0.2</v>
      </c>
      <c r="L6" s="10">
        <f>SUM(J6:K6)</f>
        <v>1</v>
      </c>
      <c r="M6" s="38" t="s">
        <v>90</v>
      </c>
      <c r="N6" s="33">
        <f>1/5</f>
        <v>0.2</v>
      </c>
      <c r="O6" s="33">
        <f>4/5</f>
        <v>0.8</v>
      </c>
      <c r="P6" s="10">
        <f>SUM(N6:O6)</f>
        <v>1</v>
      </c>
      <c r="Q6" s="13"/>
      <c r="R6" s="13"/>
    </row>
    <row r="7" spans="1:36">
      <c r="D7" s="38" t="s">
        <v>88</v>
      </c>
      <c r="E7" s="14">
        <f>MAX(E10:E21)</f>
        <v>500</v>
      </c>
      <c r="F7" s="14">
        <f>MAX(F10:F21)</f>
        <v>8171</v>
      </c>
      <c r="G7" s="13">
        <v>5</v>
      </c>
      <c r="H7" s="14"/>
      <c r="I7" s="38" t="s">
        <v>88</v>
      </c>
      <c r="J7" s="14">
        <f t="shared" ref="J7:K7" si="0">MAX(J10:J21)</f>
        <v>0.6</v>
      </c>
      <c r="K7" s="14">
        <f t="shared" si="0"/>
        <v>4406</v>
      </c>
      <c r="L7" s="14"/>
      <c r="M7" s="38" t="s">
        <v>88</v>
      </c>
      <c r="N7" s="14">
        <f t="shared" ref="N7:O7" si="1">MAX(N10:N21)</f>
        <v>1</v>
      </c>
      <c r="O7" s="14">
        <f t="shared" si="1"/>
        <v>20</v>
      </c>
      <c r="P7" s="14"/>
    </row>
    <row r="8" spans="1:36">
      <c r="E8" s="4"/>
      <c r="F8" s="4"/>
      <c r="G8" s="4" t="s">
        <v>89</v>
      </c>
      <c r="H8" s="4"/>
      <c r="J8" s="4"/>
      <c r="K8" s="4"/>
      <c r="L8" s="4"/>
    </row>
    <row r="9" spans="1:36" s="2" customFormat="1">
      <c r="A9"/>
      <c r="B9" s="2" t="s">
        <v>1</v>
      </c>
      <c r="C9" s="3" t="s">
        <v>125</v>
      </c>
      <c r="E9" s="3" t="s">
        <v>85</v>
      </c>
      <c r="F9" s="3" t="s">
        <v>3</v>
      </c>
      <c r="G9" s="3" t="s">
        <v>121</v>
      </c>
      <c r="H9" s="16" t="s">
        <v>86</v>
      </c>
      <c r="I9" s="36"/>
      <c r="J9" s="3" t="s">
        <v>28</v>
      </c>
      <c r="K9" s="3" t="s">
        <v>2</v>
      </c>
      <c r="L9" s="16" t="s">
        <v>87</v>
      </c>
      <c r="M9" s="36"/>
      <c r="N9" s="20" t="s">
        <v>32</v>
      </c>
      <c r="O9" s="132" t="s">
        <v>91</v>
      </c>
      <c r="P9" s="16" t="s">
        <v>12</v>
      </c>
      <c r="AE9" s="3"/>
      <c r="AF9" s="3"/>
      <c r="AG9" s="3"/>
      <c r="AH9" s="3"/>
      <c r="AI9" s="2" t="s">
        <v>13</v>
      </c>
      <c r="AJ9" s="2" t="s">
        <v>49</v>
      </c>
    </row>
    <row r="10" spans="1:36">
      <c r="B10" t="s">
        <v>33</v>
      </c>
      <c r="C10" s="44">
        <v>88</v>
      </c>
      <c r="E10" s="31">
        <v>450</v>
      </c>
      <c r="F10" s="31">
        <v>4000</v>
      </c>
      <c r="G10" s="32">
        <v>4.5</v>
      </c>
      <c r="H10" s="17">
        <f>((E10/E$7*E$6)+(F10/F$7*F$6)+(G10/G$7*G$6))*5</f>
        <v>3.8843042467262268</v>
      </c>
      <c r="I10" s="37"/>
      <c r="J10" s="33">
        <v>0.3</v>
      </c>
      <c r="K10" s="31">
        <v>2850</v>
      </c>
      <c r="L10" s="17">
        <f>((J10/J$7*J$6)+(K10/K$7*K$6))*5</f>
        <v>2.6468452110758056</v>
      </c>
      <c r="M10" s="37"/>
      <c r="N10" s="21">
        <v>1</v>
      </c>
      <c r="O10" s="4">
        <v>10</v>
      </c>
      <c r="P10" s="17">
        <f>(N10/N$7*N$6)+(O10/O$7*O$6)*5</f>
        <v>2.2000000000000002</v>
      </c>
      <c r="AI10" t="s">
        <v>37</v>
      </c>
      <c r="AJ10" t="s">
        <v>51</v>
      </c>
    </row>
    <row r="11" spans="1:36">
      <c r="B11" t="s">
        <v>14</v>
      </c>
      <c r="C11" s="44">
        <v>65</v>
      </c>
      <c r="E11" s="31">
        <v>365</v>
      </c>
      <c r="F11" s="31">
        <v>3300</v>
      </c>
      <c r="G11" s="32">
        <v>5</v>
      </c>
      <c r="H11" s="17">
        <f>((E11/E$7*E$6)+(F11/F$7*F$6)+(G11/G$7*G$6))*5</f>
        <v>3.295801003549137</v>
      </c>
      <c r="I11" s="37"/>
      <c r="J11" s="33">
        <v>0.31</v>
      </c>
      <c r="K11" s="31">
        <v>3100</v>
      </c>
      <c r="L11" s="17">
        <f t="shared" ref="L11:L21" si="2">((J11/J$7*J$6)+(K11/K$7*K$6))*5</f>
        <v>2.7702526857315783</v>
      </c>
      <c r="M11" s="37"/>
      <c r="N11" s="21">
        <v>0</v>
      </c>
      <c r="O11" s="4">
        <v>10</v>
      </c>
      <c r="P11" s="17">
        <f t="shared" ref="P11:P21" si="3">(N11/N$7*N$6)+(O11/O$7*O$6)*5</f>
        <v>2</v>
      </c>
      <c r="AI11" t="s">
        <v>38</v>
      </c>
      <c r="AJ11" t="s">
        <v>50</v>
      </c>
    </row>
    <row r="12" spans="1:36">
      <c r="B12" t="s">
        <v>15</v>
      </c>
      <c r="C12" s="44">
        <v>90</v>
      </c>
      <c r="E12" s="31">
        <v>500</v>
      </c>
      <c r="F12" s="31">
        <v>3000</v>
      </c>
      <c r="G12" s="32">
        <v>1.5</v>
      </c>
      <c r="H12" s="17">
        <f>((E12/E$7*E$6)+(F12/F$7*F$6)+(G12/G$7*G$6))*5</f>
        <v>3.70072818504467</v>
      </c>
      <c r="I12" s="37"/>
      <c r="J12" s="33">
        <v>0.5</v>
      </c>
      <c r="K12" s="31">
        <v>4139</v>
      </c>
      <c r="L12" s="17">
        <f t="shared" si="2"/>
        <v>4.2727341504009688</v>
      </c>
      <c r="M12" s="37"/>
      <c r="N12" s="21">
        <v>0</v>
      </c>
      <c r="O12" s="4">
        <v>2</v>
      </c>
      <c r="P12" s="17">
        <f t="shared" si="3"/>
        <v>0.40000000000000008</v>
      </c>
      <c r="AE12" s="11"/>
      <c r="AF12" s="11"/>
      <c r="AG12" s="11"/>
      <c r="AH12" s="11"/>
      <c r="AI12" t="s">
        <v>17</v>
      </c>
    </row>
    <row r="13" spans="1:36">
      <c r="B13" t="s">
        <v>18</v>
      </c>
      <c r="C13" s="44">
        <v>102</v>
      </c>
      <c r="E13" s="31">
        <v>346</v>
      </c>
      <c r="F13" s="31">
        <v>5289</v>
      </c>
      <c r="G13" s="32">
        <v>4</v>
      </c>
      <c r="H13" s="17">
        <f>((E13/E$7*E$6)+(F13/F$7*F$6)+(G13/G$7*G$6))*5</f>
        <v>3.4469337902337536</v>
      </c>
      <c r="I13" s="37"/>
      <c r="J13" s="33">
        <v>0.53</v>
      </c>
      <c r="K13" s="31">
        <v>3450</v>
      </c>
      <c r="L13" s="17">
        <f t="shared" si="2"/>
        <v>4.316356483582994</v>
      </c>
      <c r="M13" s="37"/>
      <c r="N13" s="21">
        <v>0</v>
      </c>
      <c r="O13" s="4">
        <v>18</v>
      </c>
      <c r="P13" s="17">
        <f t="shared" si="3"/>
        <v>3.6000000000000005</v>
      </c>
      <c r="AI13" t="s">
        <v>19</v>
      </c>
      <c r="AJ13" t="s">
        <v>66</v>
      </c>
    </row>
    <row r="14" spans="1:36">
      <c r="B14" t="s">
        <v>20</v>
      </c>
      <c r="C14" s="44">
        <v>95</v>
      </c>
      <c r="E14" s="31">
        <v>407</v>
      </c>
      <c r="F14" s="31">
        <v>8171</v>
      </c>
      <c r="G14" s="32">
        <v>2.5</v>
      </c>
      <c r="H14" s="17">
        <f t="shared" ref="H14:H21" si="4">((E14/E$7*E$6)+(F14/F$7*F$6)+(G14/G$7*G$6))*5</f>
        <v>4.1920000000000002</v>
      </c>
      <c r="I14" s="37"/>
      <c r="J14" s="33">
        <v>0.28000000000000003</v>
      </c>
      <c r="K14" s="31">
        <v>1609</v>
      </c>
      <c r="L14" s="17">
        <f t="shared" si="2"/>
        <v>2.2318505068845518</v>
      </c>
      <c r="M14" s="37"/>
      <c r="N14" s="21">
        <v>0</v>
      </c>
      <c r="O14" s="4">
        <v>16</v>
      </c>
      <c r="P14" s="17">
        <f t="shared" si="3"/>
        <v>3.2000000000000006</v>
      </c>
      <c r="AI14" t="s">
        <v>64</v>
      </c>
      <c r="AJ14" t="s">
        <v>67</v>
      </c>
    </row>
    <row r="15" spans="1:36">
      <c r="B15" t="s">
        <v>62</v>
      </c>
      <c r="C15" s="44">
        <v>76</v>
      </c>
      <c r="E15" s="31">
        <v>400</v>
      </c>
      <c r="F15" s="31">
        <v>3358</v>
      </c>
      <c r="G15" s="32">
        <v>2</v>
      </c>
      <c r="H15" s="17">
        <f t="shared" si="4"/>
        <v>3.2164484151266675</v>
      </c>
      <c r="I15" s="37"/>
      <c r="J15" s="33">
        <v>0.25</v>
      </c>
      <c r="K15" s="31">
        <v>3514</v>
      </c>
      <c r="L15" s="17">
        <f t="shared" si="2"/>
        <v>2.4642154637615379</v>
      </c>
      <c r="M15" s="37"/>
      <c r="N15" s="21">
        <v>0</v>
      </c>
      <c r="O15" s="4">
        <v>3</v>
      </c>
      <c r="P15" s="17">
        <f t="shared" si="3"/>
        <v>0.6</v>
      </c>
      <c r="AI15" t="s">
        <v>65</v>
      </c>
      <c r="AJ15" t="s">
        <v>68</v>
      </c>
    </row>
    <row r="16" spans="1:36">
      <c r="B16" t="s">
        <v>22</v>
      </c>
      <c r="C16" s="44">
        <v>84</v>
      </c>
      <c r="E16" s="31">
        <v>243</v>
      </c>
      <c r="F16" s="31">
        <v>752</v>
      </c>
      <c r="G16" s="32">
        <v>2.5</v>
      </c>
      <c r="H16" s="17">
        <f t="shared" si="4"/>
        <v>1.8460491983845304</v>
      </c>
      <c r="I16" s="37"/>
      <c r="J16" s="33">
        <v>0.39</v>
      </c>
      <c r="K16" s="31">
        <v>3050</v>
      </c>
      <c r="L16" s="17">
        <f t="shared" si="2"/>
        <v>3.2922378574670907</v>
      </c>
      <c r="M16" s="37"/>
      <c r="N16" s="21">
        <v>0</v>
      </c>
      <c r="O16" s="4">
        <v>9</v>
      </c>
      <c r="P16" s="17">
        <f t="shared" si="3"/>
        <v>1.8000000000000003</v>
      </c>
      <c r="AI16" t="s">
        <v>16</v>
      </c>
    </row>
    <row r="17" spans="2:38">
      <c r="B17" t="s">
        <v>34</v>
      </c>
      <c r="C17" s="44">
        <v>77</v>
      </c>
      <c r="E17" s="31">
        <v>360</v>
      </c>
      <c r="F17" s="31">
        <v>4800</v>
      </c>
      <c r="G17" s="32">
        <v>3.5</v>
      </c>
      <c r="H17" s="17">
        <f t="shared" si="4"/>
        <v>3.3911650960714717</v>
      </c>
      <c r="I17" s="37"/>
      <c r="J17" s="33">
        <v>0.35</v>
      </c>
      <c r="K17" s="31">
        <v>3500</v>
      </c>
      <c r="L17" s="17">
        <f t="shared" si="2"/>
        <v>3.1277046451808141</v>
      </c>
      <c r="M17" s="37"/>
      <c r="N17" s="21">
        <v>1</v>
      </c>
      <c r="O17" s="4">
        <v>14</v>
      </c>
      <c r="P17" s="17">
        <f t="shared" si="3"/>
        <v>3</v>
      </c>
      <c r="AI17" t="s">
        <v>37</v>
      </c>
      <c r="AJ17" t="s">
        <v>51</v>
      </c>
      <c r="AK17" s="6"/>
      <c r="AL17" s="7"/>
    </row>
    <row r="18" spans="2:38">
      <c r="B18" t="s">
        <v>23</v>
      </c>
      <c r="C18" s="44">
        <v>79</v>
      </c>
      <c r="E18" s="31">
        <v>167</v>
      </c>
      <c r="F18" s="31">
        <v>669</v>
      </c>
      <c r="G18" s="32">
        <v>1</v>
      </c>
      <c r="H18" s="17">
        <f t="shared" si="4"/>
        <v>1.2248123852649615</v>
      </c>
      <c r="I18" s="37"/>
      <c r="J18" s="33">
        <v>0.2</v>
      </c>
      <c r="K18" s="31">
        <v>2340</v>
      </c>
      <c r="L18" s="17">
        <f t="shared" si="2"/>
        <v>1.8644272961113637</v>
      </c>
      <c r="M18" s="37"/>
      <c r="N18" s="21">
        <v>0</v>
      </c>
      <c r="O18" s="4">
        <v>3</v>
      </c>
      <c r="P18" s="17">
        <f t="shared" si="3"/>
        <v>0.6</v>
      </c>
      <c r="AI18" t="s">
        <v>16</v>
      </c>
    </row>
    <row r="19" spans="2:38">
      <c r="B19" t="s">
        <v>24</v>
      </c>
      <c r="C19" s="44">
        <v>57</v>
      </c>
      <c r="E19" s="31">
        <v>220</v>
      </c>
      <c r="F19" s="31">
        <v>2054</v>
      </c>
      <c r="G19" s="32">
        <v>1</v>
      </c>
      <c r="H19" s="17">
        <f t="shared" si="4"/>
        <v>1.7970652306939177</v>
      </c>
      <c r="I19" s="37"/>
      <c r="J19" s="33">
        <v>0.22</v>
      </c>
      <c r="K19" s="31">
        <v>3400</v>
      </c>
      <c r="L19" s="17">
        <f t="shared" si="2"/>
        <v>2.2383416553185054</v>
      </c>
      <c r="M19" s="37"/>
      <c r="N19" s="21">
        <v>0</v>
      </c>
      <c r="O19" s="4">
        <v>8</v>
      </c>
      <c r="P19" s="17">
        <f t="shared" si="3"/>
        <v>1.6000000000000003</v>
      </c>
      <c r="AI19" t="s">
        <v>36</v>
      </c>
      <c r="AJ19" t="s">
        <v>52</v>
      </c>
    </row>
    <row r="20" spans="2:38">
      <c r="B20" t="s">
        <v>25</v>
      </c>
      <c r="C20" s="44">
        <v>77</v>
      </c>
      <c r="E20" s="31">
        <v>400</v>
      </c>
      <c r="F20" s="31">
        <v>5512</v>
      </c>
      <c r="G20" s="32">
        <v>1</v>
      </c>
      <c r="H20" s="17">
        <f t="shared" si="4"/>
        <v>3.5118712519887407</v>
      </c>
      <c r="I20" s="37"/>
      <c r="J20" s="33">
        <v>0.6</v>
      </c>
      <c r="K20" s="31">
        <v>4350</v>
      </c>
      <c r="L20" s="17">
        <f t="shared" si="2"/>
        <v>4.9872900590104408</v>
      </c>
      <c r="M20" s="37"/>
      <c r="N20" s="21">
        <v>0</v>
      </c>
      <c r="O20" s="4">
        <v>4</v>
      </c>
      <c r="P20" s="17">
        <f t="shared" si="3"/>
        <v>0.80000000000000016</v>
      </c>
      <c r="AE20" s="11"/>
      <c r="AF20" s="11"/>
      <c r="AG20" s="11"/>
      <c r="AH20" s="11"/>
      <c r="AI20" t="s">
        <v>16</v>
      </c>
    </row>
    <row r="21" spans="2:38">
      <c r="B21" t="s">
        <v>26</v>
      </c>
      <c r="C21" s="44">
        <v>87</v>
      </c>
      <c r="E21" s="31">
        <v>300</v>
      </c>
      <c r="F21" s="31">
        <v>5300</v>
      </c>
      <c r="G21" s="32">
        <v>3.5</v>
      </c>
      <c r="H21" s="18">
        <f t="shared" si="4"/>
        <v>3.1229531269122508</v>
      </c>
      <c r="I21" s="37"/>
      <c r="J21" s="33">
        <v>0.44</v>
      </c>
      <c r="K21" s="31">
        <v>4406</v>
      </c>
      <c r="L21" s="18">
        <f t="shared" si="2"/>
        <v>3.9333333333333345</v>
      </c>
      <c r="M21" s="37"/>
      <c r="N21" s="21">
        <v>0</v>
      </c>
      <c r="O21" s="4">
        <v>20</v>
      </c>
      <c r="P21" s="18">
        <f t="shared" si="3"/>
        <v>4</v>
      </c>
      <c r="AE21" s="11"/>
      <c r="AF21" s="11"/>
      <c r="AG21" s="11"/>
      <c r="AH21" s="11"/>
      <c r="AI21" t="s">
        <v>27</v>
      </c>
    </row>
    <row r="27" spans="2:38">
      <c r="B27">
        <f>COLUMNS($B27:B27)</f>
        <v>1</v>
      </c>
      <c r="C27">
        <f>COLUMNS($B27:C27)</f>
        <v>2</v>
      </c>
      <c r="D27">
        <f>COLUMNS($B27:D27)</f>
        <v>3</v>
      </c>
      <c r="E27">
        <f>COLUMNS($B27:E27)</f>
        <v>4</v>
      </c>
      <c r="F27">
        <f>COLUMNS($B27:F27)</f>
        <v>5</v>
      </c>
      <c r="G27">
        <f>COLUMNS($B27:G27)</f>
        <v>6</v>
      </c>
      <c r="H27">
        <f>COLUMNS($B27:H27)</f>
        <v>7</v>
      </c>
      <c r="I27">
        <f>COLUMNS($B27:I27)</f>
        <v>8</v>
      </c>
      <c r="J27">
        <f>COLUMNS($B27:J27)</f>
        <v>9</v>
      </c>
      <c r="K27">
        <f>COLUMNS($B27:K27)</f>
        <v>10</v>
      </c>
      <c r="L27">
        <f>COLUMNS($B27:L27)</f>
        <v>11</v>
      </c>
      <c r="M27">
        <f>COLUMNS($B27:M27)</f>
        <v>12</v>
      </c>
      <c r="N27">
        <f>COLUMNS($B27:N27)</f>
        <v>13</v>
      </c>
      <c r="O27">
        <f>COLUMNS($B27:O27)</f>
        <v>14</v>
      </c>
      <c r="P27">
        <f>COLUMNS($B27:P27)</f>
        <v>15</v>
      </c>
    </row>
    <row r="35" spans="19:27">
      <c r="T35" s="29"/>
      <c r="U35" s="29"/>
      <c r="V35" s="29"/>
      <c r="W35" s="29"/>
      <c r="X35" s="29"/>
      <c r="Y35" s="29"/>
      <c r="Z35" s="29"/>
      <c r="AA35" s="29"/>
    </row>
    <row r="36" spans="19:27">
      <c r="S36" s="2"/>
      <c r="T36" s="3"/>
      <c r="U36" s="3"/>
      <c r="V36" s="3"/>
      <c r="W36" s="3"/>
      <c r="X36" s="3"/>
      <c r="Y36" s="3"/>
      <c r="Z36" s="3"/>
      <c r="AA36" s="3"/>
    </row>
    <row r="37" spans="19:27">
      <c r="S37"/>
    </row>
    <row r="38" spans="19:27">
      <c r="S38"/>
    </row>
    <row r="39" spans="19:27">
      <c r="S39"/>
    </row>
    <row r="40" spans="19:27">
      <c r="S40"/>
    </row>
    <row r="41" spans="19:27">
      <c r="S41"/>
    </row>
    <row r="42" spans="19:27">
      <c r="S42"/>
    </row>
    <row r="43" spans="19:27">
      <c r="S43"/>
    </row>
    <row r="44" spans="19:27">
      <c r="S44"/>
    </row>
    <row r="45" spans="19:27">
      <c r="S45"/>
    </row>
    <row r="46" spans="19:27">
      <c r="S46"/>
    </row>
    <row r="47" spans="19:27">
      <c r="S47"/>
    </row>
    <row r="48" spans="19:27">
      <c r="S48"/>
    </row>
    <row r="50" spans="19:27">
      <c r="T50" s="28"/>
      <c r="U50" s="28"/>
      <c r="V50" s="28"/>
      <c r="W50" s="28"/>
      <c r="X50" s="28"/>
      <c r="Y50" s="28"/>
      <c r="Z50" s="28"/>
      <c r="AA50" s="28"/>
    </row>
    <row r="51" spans="19:27">
      <c r="S51" s="2"/>
      <c r="T51" s="3"/>
      <c r="U51" s="3"/>
      <c r="V51" s="3"/>
      <c r="W51" s="3"/>
      <c r="X51" s="3"/>
      <c r="Y51" s="3"/>
      <c r="Z51" s="3"/>
      <c r="AA51" s="3"/>
    </row>
    <row r="52" spans="19:27">
      <c r="S52"/>
    </row>
    <row r="53" spans="19:27">
      <c r="S53"/>
    </row>
    <row r="54" spans="19:27">
      <c r="S54"/>
    </row>
    <row r="55" spans="19:27">
      <c r="S55"/>
    </row>
    <row r="56" spans="19:27">
      <c r="S56"/>
    </row>
    <row r="57" spans="19:27">
      <c r="S57"/>
    </row>
    <row r="58" spans="19:27">
      <c r="S58"/>
    </row>
    <row r="59" spans="19:27">
      <c r="S59"/>
    </row>
    <row r="60" spans="19:27">
      <c r="S60"/>
    </row>
    <row r="61" spans="19:27">
      <c r="S61"/>
    </row>
    <row r="62" spans="19:27">
      <c r="S62"/>
    </row>
    <row r="63" spans="19:27">
      <c r="S63"/>
    </row>
  </sheetData>
  <printOptions headings="1" gridLines="1"/>
  <pageMargins left="0.7" right="0.7" top="0.75" bottom="0.75" header="0.3" footer="0.3"/>
  <pageSetup orientation="portrait" cellComments="asDisplayed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F0"/>
  </sheetPr>
  <dimension ref="B2:M54"/>
  <sheetViews>
    <sheetView zoomScale="75" zoomScaleNormal="75" workbookViewId="0">
      <pane xSplit="2" ySplit="16" topLeftCell="C30" activePane="bottomRight" state="frozen"/>
      <selection pane="topRight" activeCell="C1" sqref="C1"/>
      <selection pane="bottomLeft" activeCell="A7" sqref="A7"/>
      <selection pane="bottomRight" activeCell="L25" sqref="L25"/>
    </sheetView>
  </sheetViews>
  <sheetFormatPr defaultRowHeight="15"/>
  <cols>
    <col min="1" max="1" width="2.5703125" customWidth="1"/>
    <col min="2" max="2" width="38.5703125" customWidth="1"/>
    <col min="3" max="3" width="22.28515625" bestFit="1" customWidth="1"/>
    <col min="4" max="4" width="6.85546875" bestFit="1" customWidth="1"/>
    <col min="5" max="5" width="18" style="4" bestFit="1" customWidth="1"/>
    <col min="6" max="6" width="12.5703125" style="4" bestFit="1" customWidth="1"/>
    <col min="7" max="7" width="8.85546875" style="4" bestFit="1" customWidth="1"/>
    <col min="8" max="8" width="15.140625" style="4" bestFit="1" customWidth="1"/>
    <col min="9" max="9" width="7.7109375" style="4" bestFit="1" customWidth="1"/>
    <col min="10" max="10" width="8.7109375" style="4" bestFit="1" customWidth="1"/>
    <col min="11" max="11" width="6.5703125" style="4" bestFit="1" customWidth="1"/>
    <col min="12" max="12" width="12.85546875" style="19" bestFit="1" customWidth="1"/>
  </cols>
  <sheetData>
    <row r="2" spans="2:12" ht="18.75">
      <c r="B2" s="39" t="s">
        <v>139</v>
      </c>
    </row>
    <row r="3" spans="2:12">
      <c r="B3" s="5" t="s">
        <v>140</v>
      </c>
    </row>
    <row r="4" spans="2:12">
      <c r="B4" s="5"/>
    </row>
    <row r="5" spans="2:12">
      <c r="B5" s="68" t="s">
        <v>149</v>
      </c>
      <c r="C5" s="61"/>
      <c r="D5" s="61"/>
    </row>
    <row r="6" spans="2:12" s="54" customFormat="1">
      <c r="B6" s="61" t="s">
        <v>138</v>
      </c>
      <c r="C6" s="60"/>
      <c r="E6" s="19"/>
      <c r="F6" s="19"/>
      <c r="G6" s="19"/>
      <c r="H6" s="19"/>
      <c r="I6" s="19"/>
      <c r="J6" s="19"/>
      <c r="K6" s="19"/>
      <c r="L6" s="19"/>
    </row>
    <row r="7" spans="2:12" s="54" customFormat="1">
      <c r="B7" s="62" t="s">
        <v>141</v>
      </c>
      <c r="C7" s="63">
        <v>1</v>
      </c>
      <c r="D7" s="19"/>
      <c r="E7" s="19"/>
      <c r="F7" s="19"/>
      <c r="G7" s="19"/>
      <c r="H7" s="19"/>
      <c r="I7" s="19"/>
      <c r="J7" s="19"/>
      <c r="K7" s="19"/>
      <c r="L7" s="19"/>
    </row>
    <row r="8" spans="2:12" s="54" customFormat="1">
      <c r="B8" s="62" t="s">
        <v>142</v>
      </c>
      <c r="C8" s="64">
        <v>1</v>
      </c>
      <c r="D8" s="19" t="s">
        <v>145</v>
      </c>
      <c r="E8" s="65">
        <v>10</v>
      </c>
      <c r="F8" s="19"/>
      <c r="G8" s="19"/>
      <c r="H8" s="19"/>
      <c r="I8" s="19"/>
      <c r="J8" s="19"/>
      <c r="K8" s="19"/>
      <c r="L8" s="19"/>
    </row>
    <row r="9" spans="2:12" s="54" customFormat="1">
      <c r="B9" s="62" t="s">
        <v>143</v>
      </c>
      <c r="C9" s="64" t="s">
        <v>144</v>
      </c>
      <c r="D9" s="19"/>
      <c r="E9" s="19"/>
      <c r="F9" s="19"/>
      <c r="G9" s="19"/>
      <c r="H9" s="19"/>
      <c r="I9" s="19"/>
      <c r="J9" s="19"/>
      <c r="K9" s="19"/>
      <c r="L9" s="19"/>
    </row>
    <row r="10" spans="2:12" s="54" customFormat="1">
      <c r="B10" s="54" t="s">
        <v>148</v>
      </c>
      <c r="C10" s="64"/>
      <c r="D10" s="19"/>
      <c r="E10" s="19"/>
      <c r="F10" s="19"/>
      <c r="G10" s="19"/>
      <c r="H10" s="19"/>
      <c r="I10" s="19"/>
      <c r="J10" s="19"/>
      <c r="K10" s="19"/>
      <c r="L10" s="19"/>
    </row>
    <row r="11" spans="2:12" s="54" customFormat="1">
      <c r="B11" s="66" t="s">
        <v>143</v>
      </c>
      <c r="C11" s="67" t="s">
        <v>146</v>
      </c>
      <c r="D11" s="19"/>
      <c r="E11" s="19"/>
      <c r="F11" s="19"/>
      <c r="G11" s="19"/>
      <c r="H11" s="19"/>
      <c r="I11" s="19"/>
      <c r="J11" s="19"/>
      <c r="K11" s="19"/>
      <c r="L11" s="19"/>
    </row>
    <row r="12" spans="2:12" s="54" customFormat="1">
      <c r="B12" s="54" t="s">
        <v>147</v>
      </c>
      <c r="C12" s="64"/>
      <c r="D12" s="19"/>
      <c r="E12" s="19"/>
      <c r="F12" s="19"/>
      <c r="G12" s="19"/>
      <c r="H12" s="19"/>
      <c r="I12" s="19"/>
      <c r="J12" s="19"/>
      <c r="K12" s="19"/>
      <c r="L12" s="19"/>
    </row>
    <row r="13" spans="2:12" s="54" customFormat="1">
      <c r="B13" s="66" t="s">
        <v>143</v>
      </c>
      <c r="C13" s="67" t="s">
        <v>146</v>
      </c>
      <c r="D13" s="19"/>
      <c r="E13" s="19"/>
      <c r="F13" s="19"/>
      <c r="G13" s="19"/>
      <c r="H13" s="19"/>
      <c r="I13" s="19"/>
      <c r="J13" s="19"/>
      <c r="K13" s="19"/>
      <c r="L13" s="19"/>
    </row>
    <row r="14" spans="2:12">
      <c r="B14" s="5"/>
      <c r="C14" s="5"/>
      <c r="E14" s="9" t="s">
        <v>35</v>
      </c>
    </row>
    <row r="15" spans="2:12">
      <c r="E15" s="9" t="s">
        <v>30</v>
      </c>
      <c r="H15" s="9" t="s">
        <v>59</v>
      </c>
      <c r="I15" s="72" t="s">
        <v>152</v>
      </c>
      <c r="J15" s="9"/>
      <c r="K15" s="9"/>
      <c r="L15" s="72" t="s">
        <v>153</v>
      </c>
    </row>
    <row r="16" spans="2:12">
      <c r="B16" s="53" t="s">
        <v>39</v>
      </c>
      <c r="C16" s="2" t="s">
        <v>29</v>
      </c>
      <c r="D16" s="3" t="s">
        <v>115</v>
      </c>
      <c r="E16" s="3" t="s">
        <v>157</v>
      </c>
      <c r="F16" s="3" t="s">
        <v>151</v>
      </c>
      <c r="G16" s="3" t="s">
        <v>156</v>
      </c>
      <c r="H16" s="3" t="s">
        <v>41</v>
      </c>
      <c r="I16" s="73" t="s">
        <v>114</v>
      </c>
      <c r="J16" s="3" t="s">
        <v>154</v>
      </c>
      <c r="K16" s="3" t="s">
        <v>155</v>
      </c>
      <c r="L16" s="73" t="s">
        <v>114</v>
      </c>
    </row>
    <row r="17" spans="2:12">
      <c r="B17" s="8" t="s">
        <v>40</v>
      </c>
      <c r="C17" t="s">
        <v>33</v>
      </c>
      <c r="D17" s="26">
        <v>3</v>
      </c>
      <c r="E17" s="52">
        <v>492</v>
      </c>
      <c r="F17" s="52">
        <v>52.7</v>
      </c>
      <c r="G17" s="47">
        <v>10.1</v>
      </c>
      <c r="H17" s="32">
        <v>2.5</v>
      </c>
      <c r="I17" s="74">
        <f>AVERAGE(D17,H17)</f>
        <v>2.75</v>
      </c>
      <c r="J17" s="47" t="s">
        <v>71</v>
      </c>
      <c r="K17" s="47" t="s">
        <v>71</v>
      </c>
      <c r="L17" s="74">
        <f>IF(G17&lt;$C$7,3,IF(G17&lt;$E$8,2,1))+IF(J17="Y",1,0)+IF(K17="Y",1,0)</f>
        <v>1</v>
      </c>
    </row>
    <row r="18" spans="2:12">
      <c r="B18" s="8" t="s">
        <v>42</v>
      </c>
      <c r="C18" t="s">
        <v>33</v>
      </c>
      <c r="D18" s="26">
        <v>4</v>
      </c>
      <c r="E18" s="52">
        <v>1768</v>
      </c>
      <c r="F18" s="52">
        <v>216.84</v>
      </c>
      <c r="G18" s="47">
        <v>0.2</v>
      </c>
      <c r="H18" s="32">
        <v>4.0999999999999996</v>
      </c>
      <c r="I18" s="74">
        <f>AVERAGE(D18,H18)</f>
        <v>4.05</v>
      </c>
      <c r="J18" s="47" t="s">
        <v>70</v>
      </c>
      <c r="K18" s="47" t="s">
        <v>70</v>
      </c>
      <c r="L18" s="74">
        <f t="shared" ref="L18:L52" si="0">IF(G18&lt;$C$7,3,IF(G18&lt;$E$8,2,1))+IF(J18="Y",1,0)+IF(K18="Y",1,0)</f>
        <v>5</v>
      </c>
    </row>
    <row r="19" spans="2:12">
      <c r="B19" s="8" t="s">
        <v>43</v>
      </c>
      <c r="C19" t="s">
        <v>33</v>
      </c>
      <c r="D19" s="26">
        <v>5</v>
      </c>
      <c r="E19" s="52">
        <v>6792</v>
      </c>
      <c r="F19" s="52">
        <v>1043.0399999999997</v>
      </c>
      <c r="G19" s="47">
        <v>7.6</v>
      </c>
      <c r="H19" s="32">
        <v>5</v>
      </c>
      <c r="I19" s="74">
        <f>AVERAGE(D19,H19)</f>
        <v>5</v>
      </c>
      <c r="J19" s="47" t="s">
        <v>70</v>
      </c>
      <c r="K19" s="47" t="s">
        <v>71</v>
      </c>
      <c r="L19" s="74">
        <f t="shared" si="0"/>
        <v>3</v>
      </c>
    </row>
    <row r="20" spans="2:12">
      <c r="B20" s="8" t="s">
        <v>44</v>
      </c>
      <c r="C20" t="s">
        <v>14</v>
      </c>
      <c r="D20" s="26">
        <v>3</v>
      </c>
      <c r="E20" s="52">
        <v>2072</v>
      </c>
      <c r="F20" s="52">
        <v>330.48</v>
      </c>
      <c r="G20" s="47">
        <v>0.6</v>
      </c>
      <c r="H20" s="32">
        <v>3</v>
      </c>
      <c r="I20" s="74">
        <f t="shared" ref="I20:I52" si="1">AVERAGE(D20,H20)</f>
        <v>3</v>
      </c>
      <c r="J20" s="47" t="s">
        <v>70</v>
      </c>
      <c r="K20" s="47" t="s">
        <v>71</v>
      </c>
      <c r="L20" s="74">
        <f t="shared" si="0"/>
        <v>4</v>
      </c>
    </row>
    <row r="21" spans="2:12">
      <c r="B21" s="8" t="s">
        <v>45</v>
      </c>
      <c r="C21" t="s">
        <v>14</v>
      </c>
      <c r="D21" s="26">
        <v>4</v>
      </c>
      <c r="E21" s="52">
        <v>2392</v>
      </c>
      <c r="F21" s="52">
        <v>286.64</v>
      </c>
      <c r="G21" s="47">
        <v>3.8</v>
      </c>
      <c r="H21" s="32">
        <v>3.6</v>
      </c>
      <c r="I21" s="74">
        <f t="shared" si="1"/>
        <v>3.8</v>
      </c>
      <c r="J21" s="47" t="s">
        <v>70</v>
      </c>
      <c r="K21" s="47" t="s">
        <v>71</v>
      </c>
      <c r="L21" s="74">
        <f t="shared" si="0"/>
        <v>3</v>
      </c>
    </row>
    <row r="22" spans="2:12">
      <c r="B22" s="8" t="s">
        <v>46</v>
      </c>
      <c r="C22" t="s">
        <v>14</v>
      </c>
      <c r="D22" s="26">
        <v>5</v>
      </c>
      <c r="E22" s="52">
        <v>5968.88</v>
      </c>
      <c r="F22" s="52">
        <v>1337.44</v>
      </c>
      <c r="G22" s="47">
        <v>4.5999999999999996</v>
      </c>
      <c r="H22" s="32">
        <v>3.6</v>
      </c>
      <c r="I22" s="74">
        <f t="shared" si="1"/>
        <v>4.3</v>
      </c>
      <c r="J22" s="47" t="s">
        <v>70</v>
      </c>
      <c r="K22" s="47" t="s">
        <v>71</v>
      </c>
      <c r="L22" s="74">
        <f t="shared" si="0"/>
        <v>3</v>
      </c>
    </row>
    <row r="23" spans="2:12">
      <c r="B23" s="8" t="s">
        <v>69</v>
      </c>
      <c r="C23" t="s">
        <v>15</v>
      </c>
      <c r="D23" s="26">
        <v>3</v>
      </c>
      <c r="E23" s="52">
        <v>1592</v>
      </c>
      <c r="F23" s="52">
        <v>203.36</v>
      </c>
      <c r="G23" s="47">
        <v>0.7</v>
      </c>
      <c r="H23" s="32">
        <v>3.6</v>
      </c>
      <c r="I23" s="74">
        <f t="shared" si="1"/>
        <v>3.3</v>
      </c>
      <c r="J23" s="47" t="s">
        <v>70</v>
      </c>
      <c r="K23" s="47" t="s">
        <v>71</v>
      </c>
      <c r="L23" s="74">
        <f t="shared" si="0"/>
        <v>4</v>
      </c>
    </row>
    <row r="24" spans="2:12">
      <c r="B24" s="8" t="s">
        <v>72</v>
      </c>
      <c r="C24" t="s">
        <v>15</v>
      </c>
      <c r="D24" s="26">
        <v>4</v>
      </c>
      <c r="E24" s="52">
        <v>1865.68</v>
      </c>
      <c r="F24" s="52">
        <v>177.28</v>
      </c>
      <c r="G24" s="47">
        <v>0.8</v>
      </c>
      <c r="H24" s="32">
        <v>4.0999999999999996</v>
      </c>
      <c r="I24" s="74">
        <f t="shared" si="1"/>
        <v>4.05</v>
      </c>
      <c r="J24" s="47" t="s">
        <v>70</v>
      </c>
      <c r="K24" s="47" t="s">
        <v>71</v>
      </c>
      <c r="L24" s="74">
        <f t="shared" si="0"/>
        <v>4</v>
      </c>
    </row>
    <row r="25" spans="2:12">
      <c r="B25" s="8" t="s">
        <v>73</v>
      </c>
      <c r="C25" t="s">
        <v>15</v>
      </c>
      <c r="D25" s="26">
        <v>5</v>
      </c>
      <c r="E25" s="52">
        <v>3400</v>
      </c>
      <c r="F25" s="52">
        <v>380</v>
      </c>
      <c r="G25" s="47">
        <v>0.1</v>
      </c>
      <c r="H25" s="32">
        <v>4.9000000000000004</v>
      </c>
      <c r="I25" s="74">
        <f t="shared" si="1"/>
        <v>4.95</v>
      </c>
      <c r="J25" s="47" t="s">
        <v>70</v>
      </c>
      <c r="K25" s="47" t="s">
        <v>70</v>
      </c>
      <c r="L25" s="74">
        <f>IF(G25&lt;$C$7,3,IF(G25&lt;$E$8,2,1))+IF(J25="Y",1,0)+IF(K25="Y",1,0)</f>
        <v>5</v>
      </c>
    </row>
    <row r="26" spans="2:12">
      <c r="B26" s="8" t="s">
        <v>55</v>
      </c>
      <c r="C26" t="s">
        <v>18</v>
      </c>
      <c r="D26" s="26">
        <v>3</v>
      </c>
      <c r="E26" s="52">
        <v>1800</v>
      </c>
      <c r="F26" s="52">
        <v>189.68</v>
      </c>
      <c r="G26" s="47">
        <v>0.2</v>
      </c>
      <c r="H26" s="32">
        <v>4.3</v>
      </c>
      <c r="I26" s="74">
        <f t="shared" si="1"/>
        <v>3.65</v>
      </c>
      <c r="J26" s="47" t="s">
        <v>70</v>
      </c>
      <c r="K26" s="47" t="s">
        <v>70</v>
      </c>
      <c r="L26" s="74">
        <f t="shared" si="0"/>
        <v>5</v>
      </c>
    </row>
    <row r="27" spans="2:12">
      <c r="B27" s="8" t="s">
        <v>54</v>
      </c>
      <c r="C27" t="s">
        <v>18</v>
      </c>
      <c r="D27" s="26">
        <v>4</v>
      </c>
      <c r="E27" s="52">
        <v>2908</v>
      </c>
      <c r="F27" s="52">
        <v>300.72000000000003</v>
      </c>
      <c r="G27" s="47">
        <v>1.4</v>
      </c>
      <c r="H27" s="32">
        <v>4.2</v>
      </c>
      <c r="I27" s="74">
        <f t="shared" si="1"/>
        <v>4.0999999999999996</v>
      </c>
      <c r="J27" s="47" t="s">
        <v>70</v>
      </c>
      <c r="K27" s="47" t="s">
        <v>70</v>
      </c>
      <c r="L27" s="74">
        <f t="shared" si="0"/>
        <v>4</v>
      </c>
    </row>
    <row r="28" spans="2:12">
      <c r="B28" s="8" t="s">
        <v>53</v>
      </c>
      <c r="C28" t="s">
        <v>18</v>
      </c>
      <c r="D28" s="26">
        <v>5</v>
      </c>
      <c r="E28" s="52">
        <v>3880</v>
      </c>
      <c r="F28" s="52">
        <v>408.8</v>
      </c>
      <c r="G28" s="47">
        <v>0.1</v>
      </c>
      <c r="H28" s="32">
        <v>5</v>
      </c>
      <c r="I28" s="74">
        <f t="shared" si="1"/>
        <v>5</v>
      </c>
      <c r="J28" s="47" t="s">
        <v>70</v>
      </c>
      <c r="K28" s="47" t="s">
        <v>70</v>
      </c>
      <c r="L28" s="74">
        <f t="shared" si="0"/>
        <v>5</v>
      </c>
    </row>
    <row r="29" spans="2:12">
      <c r="B29" s="8" t="s">
        <v>58</v>
      </c>
      <c r="C29" t="s">
        <v>20</v>
      </c>
      <c r="D29" s="26">
        <v>3</v>
      </c>
      <c r="E29" s="52">
        <v>1648.4</v>
      </c>
      <c r="F29" s="52">
        <v>242.16</v>
      </c>
      <c r="G29" s="47">
        <v>0.3</v>
      </c>
      <c r="H29" s="32">
        <v>4</v>
      </c>
      <c r="I29" s="74">
        <f t="shared" si="1"/>
        <v>3.5</v>
      </c>
      <c r="J29" s="47" t="s">
        <v>70</v>
      </c>
      <c r="K29" s="47" t="s">
        <v>70</v>
      </c>
      <c r="L29" s="74">
        <f t="shared" si="0"/>
        <v>5</v>
      </c>
    </row>
    <row r="30" spans="2:12">
      <c r="B30" s="8" t="s">
        <v>56</v>
      </c>
      <c r="C30" t="s">
        <v>20</v>
      </c>
      <c r="D30" s="26">
        <v>4</v>
      </c>
      <c r="E30" s="52">
        <v>2445.12</v>
      </c>
      <c r="F30" s="52">
        <v>373.2</v>
      </c>
      <c r="G30" s="47">
        <v>0.3</v>
      </c>
      <c r="H30" s="32">
        <v>4.0999999999999996</v>
      </c>
      <c r="I30" s="74">
        <f t="shared" si="1"/>
        <v>4.05</v>
      </c>
      <c r="J30" s="47" t="s">
        <v>70</v>
      </c>
      <c r="K30" s="47" t="s">
        <v>70</v>
      </c>
      <c r="L30" s="74">
        <f t="shared" si="0"/>
        <v>5</v>
      </c>
    </row>
    <row r="31" spans="2:12">
      <c r="B31" s="8" t="s">
        <v>57</v>
      </c>
      <c r="C31" t="s">
        <v>20</v>
      </c>
      <c r="D31" s="26">
        <v>5</v>
      </c>
      <c r="E31" s="52">
        <v>2929.28</v>
      </c>
      <c r="F31" s="52">
        <v>438.72</v>
      </c>
      <c r="G31" s="47">
        <v>0.9</v>
      </c>
      <c r="H31" s="32">
        <v>4.8</v>
      </c>
      <c r="I31" s="74">
        <f t="shared" si="1"/>
        <v>4.9000000000000004</v>
      </c>
      <c r="J31" s="47" t="s">
        <v>70</v>
      </c>
      <c r="K31" s="47" t="s">
        <v>71</v>
      </c>
      <c r="L31" s="74">
        <f t="shared" si="0"/>
        <v>4</v>
      </c>
    </row>
    <row r="32" spans="2:12">
      <c r="B32" s="8" t="s">
        <v>61</v>
      </c>
      <c r="C32" t="s">
        <v>62</v>
      </c>
      <c r="D32" s="26">
        <v>3</v>
      </c>
      <c r="E32" s="52">
        <v>1001.68</v>
      </c>
      <c r="F32" s="52">
        <v>204.32</v>
      </c>
      <c r="G32" s="47">
        <v>11.4</v>
      </c>
      <c r="H32" s="32">
        <v>2.7</v>
      </c>
      <c r="I32" s="74">
        <f t="shared" si="1"/>
        <v>2.85</v>
      </c>
      <c r="J32" s="47" t="s">
        <v>70</v>
      </c>
      <c r="K32" s="47" t="s">
        <v>71</v>
      </c>
      <c r="L32" s="74">
        <f t="shared" si="0"/>
        <v>2</v>
      </c>
    </row>
    <row r="33" spans="2:12">
      <c r="B33" s="8" t="s">
        <v>60</v>
      </c>
      <c r="C33" t="s">
        <v>62</v>
      </c>
      <c r="D33" s="26">
        <v>4</v>
      </c>
      <c r="E33" s="52">
        <v>1473.12</v>
      </c>
      <c r="F33" s="52">
        <v>166.56</v>
      </c>
      <c r="G33" s="47">
        <v>11.5</v>
      </c>
      <c r="H33" s="32">
        <v>4.5999999999999996</v>
      </c>
      <c r="I33" s="74">
        <f t="shared" si="1"/>
        <v>4.3</v>
      </c>
      <c r="J33" s="47" t="s">
        <v>70</v>
      </c>
      <c r="K33" s="47" t="s">
        <v>71</v>
      </c>
      <c r="L33" s="74">
        <f t="shared" si="0"/>
        <v>2</v>
      </c>
    </row>
    <row r="34" spans="2:12">
      <c r="B34" s="8" t="s">
        <v>63</v>
      </c>
      <c r="C34" t="s">
        <v>62</v>
      </c>
      <c r="D34" s="26">
        <v>5</v>
      </c>
      <c r="E34" s="52">
        <v>3348.09</v>
      </c>
      <c r="F34" s="52">
        <v>378.33</v>
      </c>
      <c r="G34" s="47">
        <v>12.7</v>
      </c>
      <c r="H34" s="32">
        <v>3.9</v>
      </c>
      <c r="I34" s="74">
        <f t="shared" si="1"/>
        <v>4.45</v>
      </c>
      <c r="J34" s="47" t="s">
        <v>70</v>
      </c>
      <c r="K34" s="47" t="s">
        <v>71</v>
      </c>
      <c r="L34" s="74">
        <f t="shared" si="0"/>
        <v>2</v>
      </c>
    </row>
    <row r="35" spans="2:12">
      <c r="B35" s="8" t="s">
        <v>109</v>
      </c>
      <c r="C35" t="s">
        <v>22</v>
      </c>
      <c r="D35" s="26">
        <v>3</v>
      </c>
      <c r="E35" s="52">
        <v>669</v>
      </c>
      <c r="F35" s="52">
        <v>70</v>
      </c>
      <c r="G35" s="47">
        <v>15.3</v>
      </c>
      <c r="H35" s="32">
        <v>3.4</v>
      </c>
      <c r="I35" s="74">
        <f t="shared" si="1"/>
        <v>3.2</v>
      </c>
      <c r="J35" s="47" t="s">
        <v>71</v>
      </c>
      <c r="K35" s="47" t="s">
        <v>71</v>
      </c>
      <c r="L35" s="74">
        <f t="shared" si="0"/>
        <v>1</v>
      </c>
    </row>
    <row r="36" spans="2:12">
      <c r="B36" s="8" t="s">
        <v>110</v>
      </c>
      <c r="C36" t="s">
        <v>22</v>
      </c>
      <c r="D36" s="26">
        <v>4</v>
      </c>
      <c r="E36" s="52">
        <v>1152</v>
      </c>
      <c r="F36" s="52">
        <v>123</v>
      </c>
      <c r="G36" s="47">
        <v>3.5</v>
      </c>
      <c r="H36" s="32">
        <v>4</v>
      </c>
      <c r="I36" s="74">
        <f t="shared" si="1"/>
        <v>4</v>
      </c>
      <c r="J36" s="47" t="s">
        <v>70</v>
      </c>
      <c r="K36" s="47" t="s">
        <v>71</v>
      </c>
      <c r="L36" s="74">
        <f t="shared" si="0"/>
        <v>3</v>
      </c>
    </row>
    <row r="37" spans="2:12">
      <c r="B37" s="8" t="s">
        <v>111</v>
      </c>
      <c r="C37" t="s">
        <v>22</v>
      </c>
      <c r="D37" s="26">
        <v>5</v>
      </c>
      <c r="E37" s="52">
        <v>1816</v>
      </c>
      <c r="F37" s="52">
        <v>218</v>
      </c>
      <c r="G37" s="47">
        <v>19.899999999999999</v>
      </c>
      <c r="H37" s="32">
        <v>3.7</v>
      </c>
      <c r="I37" s="74">
        <f t="shared" si="1"/>
        <v>4.3499999999999996</v>
      </c>
      <c r="J37" s="47" t="s">
        <v>71</v>
      </c>
      <c r="K37" s="47" t="s">
        <v>71</v>
      </c>
      <c r="L37" s="74">
        <f t="shared" si="0"/>
        <v>1</v>
      </c>
    </row>
    <row r="38" spans="2:12">
      <c r="B38" s="8" t="s">
        <v>79</v>
      </c>
      <c r="C38" t="s">
        <v>34</v>
      </c>
      <c r="D38" s="26">
        <v>3</v>
      </c>
      <c r="E38" s="52">
        <v>682.5</v>
      </c>
      <c r="F38" s="52">
        <v>95.53</v>
      </c>
      <c r="G38" s="47">
        <v>0.3</v>
      </c>
      <c r="H38" s="32">
        <v>3.9</v>
      </c>
      <c r="I38" s="74">
        <f t="shared" si="1"/>
        <v>3.45</v>
      </c>
      <c r="J38" s="47" t="s">
        <v>70</v>
      </c>
      <c r="K38" s="47" t="s">
        <v>70</v>
      </c>
      <c r="L38" s="74">
        <f t="shared" si="0"/>
        <v>5</v>
      </c>
    </row>
    <row r="39" spans="2:12">
      <c r="B39" s="8" t="s">
        <v>80</v>
      </c>
      <c r="C39" t="s">
        <v>34</v>
      </c>
      <c r="D39" s="26">
        <v>4</v>
      </c>
      <c r="E39" s="52">
        <v>1312</v>
      </c>
      <c r="F39" s="52">
        <v>172.7</v>
      </c>
      <c r="G39" s="47">
        <v>0.3</v>
      </c>
      <c r="H39" s="32">
        <v>4.2</v>
      </c>
      <c r="I39" s="74">
        <f t="shared" si="1"/>
        <v>4.0999999999999996</v>
      </c>
      <c r="J39" s="47" t="s">
        <v>70</v>
      </c>
      <c r="K39" s="47" t="s">
        <v>70</v>
      </c>
      <c r="L39" s="74">
        <f t="shared" si="0"/>
        <v>5</v>
      </c>
    </row>
    <row r="40" spans="2:12">
      <c r="B40" s="8" t="s">
        <v>81</v>
      </c>
      <c r="C40" t="s">
        <v>34</v>
      </c>
      <c r="D40" s="26">
        <v>5</v>
      </c>
      <c r="E40" s="52">
        <v>2040</v>
      </c>
      <c r="F40" s="52">
        <v>282.88</v>
      </c>
      <c r="G40" s="47">
        <v>7.0000000000000007E-2</v>
      </c>
      <c r="H40" s="32">
        <v>4.7</v>
      </c>
      <c r="I40" s="74">
        <f t="shared" si="1"/>
        <v>4.8499999999999996</v>
      </c>
      <c r="J40" s="47" t="s">
        <v>70</v>
      </c>
      <c r="K40" s="47" t="s">
        <v>70</v>
      </c>
      <c r="L40" s="74">
        <f t="shared" si="0"/>
        <v>5</v>
      </c>
    </row>
    <row r="41" spans="2:12">
      <c r="B41" s="8" t="s">
        <v>82</v>
      </c>
      <c r="C41" t="s">
        <v>23</v>
      </c>
      <c r="D41" s="26">
        <v>3</v>
      </c>
      <c r="E41" s="52">
        <v>968</v>
      </c>
      <c r="F41" s="52">
        <v>76</v>
      </c>
      <c r="G41" s="47">
        <v>3.3</v>
      </c>
      <c r="H41" s="32">
        <v>4.8</v>
      </c>
      <c r="I41" s="74">
        <f t="shared" si="1"/>
        <v>3.9</v>
      </c>
      <c r="J41" s="47" t="s">
        <v>70</v>
      </c>
      <c r="K41" s="47" t="s">
        <v>71</v>
      </c>
      <c r="L41" s="74">
        <f t="shared" si="0"/>
        <v>3</v>
      </c>
    </row>
    <row r="42" spans="2:12">
      <c r="B42" s="8" t="s">
        <v>84</v>
      </c>
      <c r="C42" t="s">
        <v>23</v>
      </c>
      <c r="D42" s="26">
        <v>4</v>
      </c>
      <c r="E42" s="52">
        <v>2200</v>
      </c>
      <c r="F42" s="52">
        <v>193</v>
      </c>
      <c r="G42" s="47">
        <v>23.5</v>
      </c>
      <c r="H42" s="32">
        <v>3.9</v>
      </c>
      <c r="I42" s="74">
        <f t="shared" si="1"/>
        <v>3.95</v>
      </c>
      <c r="J42" s="47" t="s">
        <v>71</v>
      </c>
      <c r="K42" s="47" t="s">
        <v>71</v>
      </c>
      <c r="L42" s="74">
        <f t="shared" si="0"/>
        <v>1</v>
      </c>
    </row>
    <row r="43" spans="2:12" s="54" customFormat="1">
      <c r="B43" s="55" t="s">
        <v>116</v>
      </c>
      <c r="C43" s="54" t="s">
        <v>23</v>
      </c>
      <c r="D43" s="56">
        <v>5</v>
      </c>
      <c r="E43" s="57">
        <v>3000</v>
      </c>
      <c r="F43" s="57">
        <v>300</v>
      </c>
      <c r="G43" s="58">
        <v>3</v>
      </c>
      <c r="H43" s="59">
        <v>4.2</v>
      </c>
      <c r="I43" s="74">
        <f t="shared" si="1"/>
        <v>4.5999999999999996</v>
      </c>
      <c r="J43" s="58" t="s">
        <v>70</v>
      </c>
      <c r="K43" s="58" t="s">
        <v>71</v>
      </c>
      <c r="L43" s="74">
        <f t="shared" si="0"/>
        <v>3</v>
      </c>
    </row>
    <row r="44" spans="2:12">
      <c r="B44" s="8" t="s">
        <v>47</v>
      </c>
      <c r="C44" t="s">
        <v>24</v>
      </c>
      <c r="D44" s="26">
        <v>3</v>
      </c>
      <c r="E44" s="52">
        <v>792</v>
      </c>
      <c r="F44" s="52">
        <v>83.2</v>
      </c>
      <c r="G44" s="47">
        <v>0.6</v>
      </c>
      <c r="H44" s="32">
        <v>4</v>
      </c>
      <c r="I44" s="74">
        <f t="shared" si="1"/>
        <v>3.5</v>
      </c>
      <c r="J44" s="47" t="s">
        <v>70</v>
      </c>
      <c r="K44" s="47" t="s">
        <v>71</v>
      </c>
      <c r="L44" s="74">
        <f t="shared" si="0"/>
        <v>4</v>
      </c>
    </row>
    <row r="45" spans="2:12">
      <c r="B45" s="8" t="s">
        <v>83</v>
      </c>
      <c r="C45" t="s">
        <v>24</v>
      </c>
      <c r="D45" s="26">
        <v>4</v>
      </c>
      <c r="E45" s="52">
        <v>2120</v>
      </c>
      <c r="F45" s="52">
        <v>295</v>
      </c>
      <c r="G45" s="47">
        <v>1.8</v>
      </c>
      <c r="H45" s="32">
        <v>3.9</v>
      </c>
      <c r="I45" s="74">
        <f t="shared" si="1"/>
        <v>3.95</v>
      </c>
      <c r="J45" s="47" t="s">
        <v>70</v>
      </c>
      <c r="K45" s="47" t="s">
        <v>71</v>
      </c>
      <c r="L45" s="74">
        <f t="shared" si="0"/>
        <v>3</v>
      </c>
    </row>
    <row r="46" spans="2:12">
      <c r="B46" s="8" t="s">
        <v>48</v>
      </c>
      <c r="C46" t="s">
        <v>24</v>
      </c>
      <c r="D46" s="26">
        <v>5</v>
      </c>
      <c r="E46" s="52">
        <v>2726</v>
      </c>
      <c r="F46" s="52">
        <v>382</v>
      </c>
      <c r="G46" s="47">
        <v>0.1</v>
      </c>
      <c r="H46" s="32">
        <v>4.5</v>
      </c>
      <c r="I46" s="74">
        <f t="shared" si="1"/>
        <v>4.75</v>
      </c>
      <c r="J46" s="47" t="s">
        <v>70</v>
      </c>
      <c r="K46" s="47" t="s">
        <v>70</v>
      </c>
      <c r="L46" s="74">
        <f t="shared" si="0"/>
        <v>5</v>
      </c>
    </row>
    <row r="47" spans="2:12">
      <c r="B47" s="8" t="s">
        <v>74</v>
      </c>
      <c r="C47" t="s">
        <v>25</v>
      </c>
      <c r="D47" s="26">
        <v>3</v>
      </c>
      <c r="E47" s="52">
        <v>1400</v>
      </c>
      <c r="F47" s="52">
        <v>218</v>
      </c>
      <c r="G47" s="47">
        <v>1</v>
      </c>
      <c r="H47" s="32">
        <v>4.2</v>
      </c>
      <c r="I47" s="74">
        <f t="shared" si="1"/>
        <v>3.6</v>
      </c>
      <c r="J47" s="47" t="s">
        <v>70</v>
      </c>
      <c r="K47" s="47" t="s">
        <v>71</v>
      </c>
      <c r="L47" s="74">
        <f t="shared" si="0"/>
        <v>3</v>
      </c>
    </row>
    <row r="48" spans="2:12">
      <c r="B48" s="8" t="s">
        <v>75</v>
      </c>
      <c r="C48" t="s">
        <v>25</v>
      </c>
      <c r="D48" s="26">
        <v>4</v>
      </c>
      <c r="E48" s="52">
        <v>1765</v>
      </c>
      <c r="F48" s="52">
        <v>232</v>
      </c>
      <c r="G48" s="47">
        <v>1.6</v>
      </c>
      <c r="H48" s="32">
        <v>5</v>
      </c>
      <c r="I48" s="74">
        <f t="shared" si="1"/>
        <v>4.5</v>
      </c>
      <c r="J48" s="47" t="s">
        <v>70</v>
      </c>
      <c r="K48" s="47" t="s">
        <v>71</v>
      </c>
      <c r="L48" s="74">
        <f t="shared" si="0"/>
        <v>3</v>
      </c>
    </row>
    <row r="49" spans="2:13" s="54" customFormat="1">
      <c r="B49" s="55" t="s">
        <v>117</v>
      </c>
      <c r="C49" s="54" t="s">
        <v>25</v>
      </c>
      <c r="D49" s="56">
        <v>5</v>
      </c>
      <c r="E49" s="57">
        <v>3000</v>
      </c>
      <c r="F49" s="57">
        <v>300</v>
      </c>
      <c r="G49" s="58">
        <v>3</v>
      </c>
      <c r="H49" s="59">
        <v>4.2</v>
      </c>
      <c r="I49" s="74">
        <f t="shared" si="1"/>
        <v>4.5999999999999996</v>
      </c>
      <c r="J49" s="58" t="s">
        <v>70</v>
      </c>
      <c r="K49" s="58" t="s">
        <v>70</v>
      </c>
      <c r="L49" s="74">
        <f t="shared" si="0"/>
        <v>4</v>
      </c>
    </row>
    <row r="50" spans="2:13">
      <c r="B50" s="8" t="s">
        <v>76</v>
      </c>
      <c r="C50" t="s">
        <v>26</v>
      </c>
      <c r="D50" s="26">
        <v>3</v>
      </c>
      <c r="E50" s="52">
        <v>2532</v>
      </c>
      <c r="F50" s="52">
        <v>357</v>
      </c>
      <c r="G50" s="47">
        <v>0.5</v>
      </c>
      <c r="H50" s="32">
        <v>4.0999999999999996</v>
      </c>
      <c r="I50" s="74">
        <f t="shared" si="1"/>
        <v>3.55</v>
      </c>
      <c r="J50" s="47" t="s">
        <v>70</v>
      </c>
      <c r="K50" s="47" t="s">
        <v>71</v>
      </c>
      <c r="L50" s="74">
        <f t="shared" si="0"/>
        <v>4</v>
      </c>
    </row>
    <row r="51" spans="2:13">
      <c r="B51" s="8" t="s">
        <v>77</v>
      </c>
      <c r="C51" t="s">
        <v>26</v>
      </c>
      <c r="D51" s="26">
        <v>4</v>
      </c>
      <c r="E51" s="52">
        <v>2861</v>
      </c>
      <c r="F51" s="52">
        <v>323</v>
      </c>
      <c r="G51" s="47">
        <v>0.2</v>
      </c>
      <c r="H51" s="32">
        <v>4.7</v>
      </c>
      <c r="I51" s="74">
        <f t="shared" si="1"/>
        <v>4.3499999999999996</v>
      </c>
      <c r="J51" s="47" t="s">
        <v>70</v>
      </c>
      <c r="K51" s="47" t="s">
        <v>70</v>
      </c>
      <c r="L51" s="74">
        <f t="shared" si="0"/>
        <v>5</v>
      </c>
    </row>
    <row r="52" spans="2:13">
      <c r="B52" s="8" t="s">
        <v>78</v>
      </c>
      <c r="C52" t="s">
        <v>26</v>
      </c>
      <c r="D52" s="26">
        <v>5</v>
      </c>
      <c r="E52" s="52">
        <v>9520</v>
      </c>
      <c r="F52" s="52">
        <v>999</v>
      </c>
      <c r="G52" s="47">
        <v>0.1</v>
      </c>
      <c r="H52" s="32">
        <v>5</v>
      </c>
      <c r="I52" s="75">
        <f t="shared" si="1"/>
        <v>5</v>
      </c>
      <c r="J52" s="47" t="s">
        <v>70</v>
      </c>
      <c r="K52" s="47" t="s">
        <v>70</v>
      </c>
      <c r="L52" s="75">
        <f t="shared" si="0"/>
        <v>5</v>
      </c>
    </row>
    <row r="54" spans="2:13">
      <c r="B54">
        <f>COLUMNS($B54:B54)</f>
        <v>1</v>
      </c>
      <c r="C54">
        <f>COLUMNS($B54:C54)</f>
        <v>2</v>
      </c>
      <c r="D54">
        <f>COLUMNS($B54:D54)</f>
        <v>3</v>
      </c>
      <c r="E54">
        <f>COLUMNS($B54:E54)</f>
        <v>4</v>
      </c>
      <c r="F54">
        <f>COLUMNS($B54:F54)</f>
        <v>5</v>
      </c>
      <c r="G54">
        <f>COLUMNS($B54:G54)</f>
        <v>6</v>
      </c>
      <c r="H54">
        <f>COLUMNS($B54:H54)</f>
        <v>7</v>
      </c>
      <c r="I54">
        <f>COLUMNS($B54:I54)</f>
        <v>8</v>
      </c>
      <c r="J54">
        <f>COLUMNS($B54:J54)</f>
        <v>9</v>
      </c>
      <c r="K54">
        <f>COLUMNS($B54:K54)</f>
        <v>10</v>
      </c>
      <c r="L54" s="54">
        <f>COLUMNS($B54:L54)</f>
        <v>11</v>
      </c>
      <c r="M54">
        <f>COLUMNS($B54:M54)</f>
        <v>12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Model</vt:lpstr>
      <vt:lpstr>Flight_Cost Data</vt:lpstr>
      <vt:lpstr>Resort_Qualitative_Data</vt:lpstr>
      <vt:lpstr>Hotel Info</vt:lpstr>
      <vt:lpstr>Driving_Info</vt:lpstr>
      <vt:lpstr>Flight_Info</vt:lpstr>
      <vt:lpstr>greg</vt:lpstr>
      <vt:lpstr>Hotel_Info</vt:lpstr>
      <vt:lpstr>Mountain_Info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Scott Yocum</dc:creator>
  <cp:lastModifiedBy>Edward Scott Yocum</cp:lastModifiedBy>
  <dcterms:created xsi:type="dcterms:W3CDTF">2011-04-21T19:12:13Z</dcterms:created>
  <dcterms:modified xsi:type="dcterms:W3CDTF">2011-05-10T17:34:31Z</dcterms:modified>
</cp:coreProperties>
</file>