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Default Extension="rels" ContentType="application/vnd.openxmlformats-package.relationship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comments1.xml" ContentType="application/vnd.openxmlformats-officedocument.spreadsheetml.comments+xml"/>
  <Default Extension="vml" ContentType="application/vnd.openxmlformats-officedocument.vmlDrawing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png" ContentType="image/png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120" windowWidth="21400" windowHeight="14240" tabRatio="816"/>
  </bookViews>
  <sheets>
    <sheet name="Inputs and Outputs" sheetId="1" r:id="rId1"/>
    <sheet name="Financial Worksheet" sheetId="11" r:id="rId2"/>
    <sheet name="Apartment Scores" sheetId="8" r:id="rId3"/>
    <sheet name="Apartment Listings" sheetId="6" r:id="rId4"/>
    <sheet name="Preference Scores" sheetId="3" r:id="rId5"/>
    <sheet name="Neighborhood Characteristics" sheetId="4" r:id="rId6"/>
    <sheet name="Commuter Model" sheetId="10" r:id="rId7"/>
    <sheet name="Neighborhood Matching Prefs" sheetId="2" r:id="rId8"/>
    <sheet name="Sheet1" sheetId="5" r:id="rId9"/>
  </sheets>
  <externalReferences>
    <externalReference r:id="rId10"/>
  </externalReferences>
  <definedNames>
    <definedName name="Bars">'Preference Scores'!$B$27:$B$31</definedName>
    <definedName name="Bathrooms">'Preference Scores'!$B$83:$B$85</definedName>
    <definedName name="Bedrooms">'Preference Scores'!$B$78:$B$81</definedName>
    <definedName name="CB_3a803a053cd4420b9726237c5a012edf" localSheetId="1" hidden="1">'Financial Worksheet'!$B$16</definedName>
    <definedName name="CB_c3c1b52e5eef488699476566af5d3b41" localSheetId="1" hidden="1">'Financial Worksheet'!$B$14</definedName>
    <definedName name="CBCR_55f9260268f34405a89dcb93f8490b3a" localSheetId="1" hidden="1">'Financial Worksheet'!$B$7</definedName>
    <definedName name="CBCR_ae54aff5c4804acebf747066c3918c3b" localSheetId="1" hidden="1">'Financial Worksheet'!$B$8</definedName>
    <definedName name="CBCR_cd603017a3564c9b9a569b9d4956c7b0" localSheetId="1" hidden="1">'Financial Worksheet'!$B$12</definedName>
    <definedName name="CBCR_fca34510ec3e4e6b9c3460e936936fac" localSheetId="1" hidden="1">'Financial Worksheet'!$B$11</definedName>
    <definedName name="CBx_Sheet_Guid" localSheetId="1" hidden="1">"'1a4cff43-67c7-4c3c-97dd-aee7fd3cf965"</definedName>
    <definedName name="Characteristics">'Neighborhood Matching Prefs'!$E$3:$Q$3</definedName>
    <definedName name="Entertainment">'Preference Scores'!$B$33:$B$37</definedName>
    <definedName name="Fitness">'Preference Scores'!$B$9:$B$13</definedName>
    <definedName name="four">'Commuter Model'!$B$3</definedName>
    <definedName name="Hospitals">'Preference Scores'!$B$63:$B$67</definedName>
    <definedName name="Neighborhood">'Neighborhood Matching Prefs'!$D$4:$D$48</definedName>
    <definedName name="Neighborhoods">'Neighborhood Matching Prefs'!$D$4:$D$49</definedName>
    <definedName name="new">'Commuter Model'!$B$5</definedName>
    <definedName name="Nightlife">'Preference Scores'!$B$33:$B$37</definedName>
    <definedName name="Noise">'Preference Scores'!$B$57:$B$61</definedName>
    <definedName name="One">'Commuter Model'!#REF!</definedName>
    <definedName name="OneGroupingAway">'Commuter Model'!#REF!</definedName>
    <definedName name="Other">'Commuter Model'!$B$7</definedName>
    <definedName name="Parks">'Preference Scores'!$B$69:$B$73</definedName>
    <definedName name="PrettyFar">'Commuter Model'!#REF!</definedName>
    <definedName name="Restaurants">'Preference Scores'!$B$21:$B$25</definedName>
    <definedName name="Safety">'Preference Scores'!$B$51:$B$55</definedName>
    <definedName name="Same">'Commuter Model'!$B$3</definedName>
    <definedName name="SameGrouping">'Commuter Model'!#REF!</definedName>
    <definedName name="SameSide">'Commuter Model'!#REF!</definedName>
    <definedName name="Shopping">'Preference Scores'!$B$15:$B$19</definedName>
    <definedName name="solver_typ" localSheetId="1" hidden="1">2</definedName>
    <definedName name="solver_ver" localSheetId="1" hidden="1">10</definedName>
    <definedName name="Style">'Preference Scores'!$B$39:$B$43</definedName>
    <definedName name="Supermarket">'Preference Scores'!$B$3:$B$7</definedName>
    <definedName name="TenMinutes">'Commuter Model'!$B$4</definedName>
    <definedName name="Terrace">'Preference Scores'!$B$87:$B$88</definedName>
    <definedName name="thirtyminutes">'Commuter Model'!$B$6</definedName>
    <definedName name="three">'Commuter Model'!$B$3</definedName>
    <definedName name="TimesPerWeek">'Preference Scores'!$A$106:$A$120</definedName>
    <definedName name="Transportation">'Preference Scores'!$B$45:$B$49</definedName>
    <definedName name="twentyminutes">'Commuter Model'!$B$5</definedName>
    <definedName name="Two">'Commuter Model'!#REF!</definedName>
  </definedNames>
  <calcPr calcId="130407" iterate="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6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E53"/>
  <c r="A53"/>
  <c r="E52"/>
  <c r="A52"/>
  <c r="E51"/>
  <c r="A51"/>
  <c r="E50"/>
  <c r="A50"/>
  <c r="E49"/>
  <c r="A49"/>
  <c r="E48"/>
  <c r="A48"/>
  <c r="E47"/>
  <c r="A47"/>
  <c r="A46"/>
  <c r="E45"/>
  <c r="A45"/>
  <c r="A44"/>
  <c r="E43"/>
  <c r="A43"/>
  <c r="E42"/>
  <c r="A42"/>
  <c r="A41"/>
  <c r="E40"/>
  <c r="A40"/>
  <c r="E39"/>
  <c r="A39"/>
  <c r="E38"/>
  <c r="A38"/>
  <c r="E37"/>
  <c r="A37"/>
  <c r="E36"/>
  <c r="A36"/>
  <c r="E35"/>
  <c r="A35"/>
  <c r="E34"/>
  <c r="A34"/>
  <c r="E33"/>
  <c r="A33"/>
  <c r="A32"/>
  <c r="E31"/>
  <c r="A31"/>
  <c r="E30"/>
  <c r="A30"/>
  <c r="E29"/>
  <c r="A29"/>
  <c r="E28"/>
  <c r="A28"/>
  <c r="E27"/>
  <c r="A27"/>
  <c r="A26"/>
  <c r="E25"/>
  <c r="A25"/>
  <c r="E24"/>
  <c r="A24"/>
  <c r="E23"/>
  <c r="A23"/>
  <c r="E22"/>
  <c r="A22"/>
  <c r="A21"/>
  <c r="E20"/>
  <c r="A20"/>
  <c r="E19"/>
  <c r="A19"/>
  <c r="E18"/>
  <c r="A18"/>
  <c r="E17"/>
  <c r="A17"/>
  <c r="E16"/>
  <c r="A16"/>
  <c r="E15"/>
  <c r="A15"/>
  <c r="E14"/>
  <c r="A14"/>
  <c r="E13"/>
  <c r="A13"/>
  <c r="E12"/>
  <c r="A12"/>
  <c r="A11"/>
  <c r="E10"/>
  <c r="A10"/>
  <c r="E9"/>
  <c r="A9"/>
  <c r="E8"/>
  <c r="A8"/>
  <c r="E7"/>
  <c r="A7"/>
  <c r="E6"/>
  <c r="A6"/>
  <c r="E5"/>
  <c r="A5"/>
  <c r="A4"/>
  <c r="Q153" i="8"/>
  <c r="P153"/>
  <c r="O153"/>
  <c r="N153"/>
  <c r="M153"/>
  <c r="L153"/>
  <c r="K153"/>
  <c r="J153"/>
  <c r="R153"/>
  <c r="F153"/>
  <c r="E153"/>
  <c r="G153"/>
  <c r="Q152"/>
  <c r="P152"/>
  <c r="O152"/>
  <c r="N152"/>
  <c r="M152"/>
  <c r="L152"/>
  <c r="K152"/>
  <c r="J152"/>
  <c r="R152"/>
  <c r="F152"/>
  <c r="E152"/>
  <c r="G152"/>
  <c r="Q151"/>
  <c r="P151"/>
  <c r="O151"/>
  <c r="N151"/>
  <c r="M151"/>
  <c r="L151"/>
  <c r="K151"/>
  <c r="J151"/>
  <c r="R151"/>
  <c r="F151"/>
  <c r="A152"/>
  <c r="E151"/>
  <c r="G151"/>
  <c r="Q150"/>
  <c r="P150"/>
  <c r="O150"/>
  <c r="N150"/>
  <c r="M150"/>
  <c r="L150"/>
  <c r="K150"/>
  <c r="J150"/>
  <c r="R150"/>
  <c r="F150"/>
  <c r="E150"/>
  <c r="G150"/>
  <c r="Q149"/>
  <c r="P149"/>
  <c r="O149"/>
  <c r="N149"/>
  <c r="M149"/>
  <c r="L149"/>
  <c r="K149"/>
  <c r="J149"/>
  <c r="R149"/>
  <c r="F149"/>
  <c r="A150"/>
  <c r="E149"/>
  <c r="G149"/>
  <c r="Q148"/>
  <c r="P148"/>
  <c r="O148"/>
  <c r="N148"/>
  <c r="M148"/>
  <c r="L148"/>
  <c r="K148"/>
  <c r="J148"/>
  <c r="R148"/>
  <c r="F148"/>
  <c r="E148"/>
  <c r="G148"/>
  <c r="Q147"/>
  <c r="P147"/>
  <c r="O147"/>
  <c r="N147"/>
  <c r="M147"/>
  <c r="L147"/>
  <c r="K147"/>
  <c r="J147"/>
  <c r="R147"/>
  <c r="F147"/>
  <c r="A148"/>
  <c r="E147"/>
  <c r="G147"/>
  <c r="Q146"/>
  <c r="P146"/>
  <c r="O146"/>
  <c r="N146"/>
  <c r="M146"/>
  <c r="L146"/>
  <c r="K146"/>
  <c r="J146"/>
  <c r="R146"/>
  <c r="F146"/>
  <c r="E146"/>
  <c r="G146"/>
  <c r="Q145"/>
  <c r="P145"/>
  <c r="O145"/>
  <c r="N145"/>
  <c r="M145"/>
  <c r="L145"/>
  <c r="K145"/>
  <c r="J145"/>
  <c r="R145"/>
  <c r="F145"/>
  <c r="A146"/>
  <c r="E145"/>
  <c r="G145"/>
  <c r="Q144"/>
  <c r="P144"/>
  <c r="O144"/>
  <c r="N144"/>
  <c r="M144"/>
  <c r="L144"/>
  <c r="K144"/>
  <c r="J144"/>
  <c r="R144"/>
  <c r="F144"/>
  <c r="E144"/>
  <c r="G144"/>
  <c r="Q143"/>
  <c r="P143"/>
  <c r="O143"/>
  <c r="N143"/>
  <c r="M143"/>
  <c r="L143"/>
  <c r="K143"/>
  <c r="J143"/>
  <c r="R143"/>
  <c r="F143"/>
  <c r="A144"/>
  <c r="E143"/>
  <c r="G143"/>
  <c r="Q142"/>
  <c r="P142"/>
  <c r="O142"/>
  <c r="N142"/>
  <c r="M142"/>
  <c r="L142"/>
  <c r="K142"/>
  <c r="J142"/>
  <c r="F142"/>
  <c r="E142"/>
  <c r="G142"/>
  <c r="Q141"/>
  <c r="P141"/>
  <c r="O141"/>
  <c r="N141"/>
  <c r="M141"/>
  <c r="L141"/>
  <c r="K141"/>
  <c r="J141"/>
  <c r="R141"/>
  <c r="A145"/>
  <c r="A147"/>
  <c r="A149"/>
  <c r="A151"/>
  <c r="A153"/>
  <c r="F141"/>
  <c r="A142"/>
  <c r="E141"/>
  <c r="G141"/>
  <c r="Q140"/>
  <c r="P140"/>
  <c r="O140"/>
  <c r="N140"/>
  <c r="M140"/>
  <c r="L140"/>
  <c r="K140"/>
  <c r="J140"/>
  <c r="R140"/>
  <c r="F140"/>
  <c r="E140"/>
  <c r="G140"/>
  <c r="Q139"/>
  <c r="P139"/>
  <c r="O139"/>
  <c r="N139"/>
  <c r="M139"/>
  <c r="L139"/>
  <c r="K139"/>
  <c r="J139"/>
  <c r="R139"/>
  <c r="F139"/>
  <c r="A140"/>
  <c r="E139"/>
  <c r="G139"/>
  <c r="Q138"/>
  <c r="P138"/>
  <c r="O138"/>
  <c r="N138"/>
  <c r="M138"/>
  <c r="L138"/>
  <c r="K138"/>
  <c r="J138"/>
  <c r="R138"/>
  <c r="F138"/>
  <c r="E138"/>
  <c r="G138"/>
  <c r="Q137"/>
  <c r="P137"/>
  <c r="O137"/>
  <c r="N137"/>
  <c r="M137"/>
  <c r="L137"/>
  <c r="K137"/>
  <c r="J137"/>
  <c r="R137"/>
  <c r="F137"/>
  <c r="E137"/>
  <c r="G137"/>
  <c r="Q136"/>
  <c r="P136"/>
  <c r="O136"/>
  <c r="N136"/>
  <c r="M136"/>
  <c r="L136"/>
  <c r="K136"/>
  <c r="J136"/>
  <c r="R136"/>
  <c r="F136"/>
  <c r="E136"/>
  <c r="G136"/>
  <c r="Q135"/>
  <c r="P135"/>
  <c r="O135"/>
  <c r="N135"/>
  <c r="M135"/>
  <c r="L135"/>
  <c r="K135"/>
  <c r="J135"/>
  <c r="F135"/>
  <c r="E135"/>
  <c r="G135"/>
  <c r="Q134"/>
  <c r="P134"/>
  <c r="O134"/>
  <c r="N134"/>
  <c r="M134"/>
  <c r="L134"/>
  <c r="K134"/>
  <c r="J134"/>
  <c r="R134"/>
  <c r="F134"/>
  <c r="E134"/>
  <c r="G134"/>
  <c r="Q133"/>
  <c r="P133"/>
  <c r="O133"/>
  <c r="N133"/>
  <c r="M133"/>
  <c r="L133"/>
  <c r="K133"/>
  <c r="J133"/>
  <c r="R133"/>
  <c r="F133"/>
  <c r="E133"/>
  <c r="G133"/>
  <c r="Q132"/>
  <c r="P132"/>
  <c r="O132"/>
  <c r="N132"/>
  <c r="M132"/>
  <c r="L132"/>
  <c r="K132"/>
  <c r="J132"/>
  <c r="R132"/>
  <c r="F132"/>
  <c r="A133"/>
  <c r="E132"/>
  <c r="G132"/>
  <c r="Q131"/>
  <c r="P131"/>
  <c r="O131"/>
  <c r="N131"/>
  <c r="M131"/>
  <c r="L131"/>
  <c r="K131"/>
  <c r="J131"/>
  <c r="R131"/>
  <c r="F131"/>
  <c r="E131"/>
  <c r="G131"/>
  <c r="Q130"/>
  <c r="P130"/>
  <c r="O130"/>
  <c r="N130"/>
  <c r="M130"/>
  <c r="L130"/>
  <c r="K130"/>
  <c r="J130"/>
  <c r="R130"/>
  <c r="F130"/>
  <c r="A131"/>
  <c r="E130"/>
  <c r="G130"/>
  <c r="Q129"/>
  <c r="P129"/>
  <c r="O129"/>
  <c r="N129"/>
  <c r="M129"/>
  <c r="L129"/>
  <c r="K129"/>
  <c r="J129"/>
  <c r="F129"/>
  <c r="E129"/>
  <c r="G129"/>
  <c r="Q128"/>
  <c r="P128"/>
  <c r="O128"/>
  <c r="N128"/>
  <c r="M128"/>
  <c r="L128"/>
  <c r="K128"/>
  <c r="J128"/>
  <c r="F128"/>
  <c r="E128"/>
  <c r="G128"/>
  <c r="Q127"/>
  <c r="P127"/>
  <c r="O127"/>
  <c r="N127"/>
  <c r="M127"/>
  <c r="L127"/>
  <c r="K127"/>
  <c r="J127"/>
  <c r="R127"/>
  <c r="F127"/>
  <c r="E127"/>
  <c r="G127"/>
  <c r="Q126"/>
  <c r="P126"/>
  <c r="O126"/>
  <c r="N126"/>
  <c r="M126"/>
  <c r="L126"/>
  <c r="K126"/>
  <c r="J126"/>
  <c r="R126"/>
  <c r="F126"/>
  <c r="E126"/>
  <c r="G126"/>
  <c r="Q125"/>
  <c r="P125"/>
  <c r="O125"/>
  <c r="N125"/>
  <c r="M125"/>
  <c r="L125"/>
  <c r="K125"/>
  <c r="J125"/>
  <c r="R125"/>
  <c r="F125"/>
  <c r="E125"/>
  <c r="G125"/>
  <c r="Q124"/>
  <c r="P124"/>
  <c r="O124"/>
  <c r="N124"/>
  <c r="M124"/>
  <c r="L124"/>
  <c r="K124"/>
  <c r="J124"/>
  <c r="R124"/>
  <c r="F124"/>
  <c r="A125"/>
  <c r="E124"/>
  <c r="G124"/>
  <c r="Q123"/>
  <c r="P123"/>
  <c r="O123"/>
  <c r="N123"/>
  <c r="M123"/>
  <c r="L123"/>
  <c r="K123"/>
  <c r="J123"/>
  <c r="R123"/>
  <c r="F123"/>
  <c r="E123"/>
  <c r="G123"/>
  <c r="Q122"/>
  <c r="P122"/>
  <c r="O122"/>
  <c r="N122"/>
  <c r="M122"/>
  <c r="L122"/>
  <c r="K122"/>
  <c r="J122"/>
  <c r="R122"/>
  <c r="F122"/>
  <c r="A123"/>
  <c r="E122"/>
  <c r="G122"/>
  <c r="Q121"/>
  <c r="P121"/>
  <c r="O121"/>
  <c r="N121"/>
  <c r="M121"/>
  <c r="L121"/>
  <c r="K121"/>
  <c r="J121"/>
  <c r="R121"/>
  <c r="F121"/>
  <c r="E121"/>
  <c r="G121"/>
  <c r="Q120"/>
  <c r="P120"/>
  <c r="O120"/>
  <c r="N120"/>
  <c r="M120"/>
  <c r="L120"/>
  <c r="K120"/>
  <c r="J120"/>
  <c r="F120"/>
  <c r="E120"/>
  <c r="G120"/>
  <c r="Q119"/>
  <c r="P119"/>
  <c r="O119"/>
  <c r="N119"/>
  <c r="M119"/>
  <c r="L119"/>
  <c r="K119"/>
  <c r="J119"/>
  <c r="F119"/>
  <c r="E119"/>
  <c r="G119"/>
  <c r="Q118"/>
  <c r="P118"/>
  <c r="O118"/>
  <c r="N118"/>
  <c r="M118"/>
  <c r="L118"/>
  <c r="K118"/>
  <c r="J118"/>
  <c r="R118"/>
  <c r="F118"/>
  <c r="E118"/>
  <c r="G118"/>
  <c r="Q117"/>
  <c r="P117"/>
  <c r="O117"/>
  <c r="N117"/>
  <c r="M117"/>
  <c r="L117"/>
  <c r="K117"/>
  <c r="J117"/>
  <c r="R117"/>
  <c r="F117"/>
  <c r="E117"/>
  <c r="G117"/>
  <c r="Q116"/>
  <c r="P116"/>
  <c r="O116"/>
  <c r="N116"/>
  <c r="M116"/>
  <c r="L116"/>
  <c r="K116"/>
  <c r="J116"/>
  <c r="R116"/>
  <c r="F116"/>
  <c r="E116"/>
  <c r="G116"/>
  <c r="Q115"/>
  <c r="P115"/>
  <c r="O115"/>
  <c r="N115"/>
  <c r="M115"/>
  <c r="L115"/>
  <c r="K115"/>
  <c r="J115"/>
  <c r="R115"/>
  <c r="F115"/>
  <c r="A116"/>
  <c r="E115"/>
  <c r="G115"/>
  <c r="Q114"/>
  <c r="P114"/>
  <c r="O114"/>
  <c r="N114"/>
  <c r="M114"/>
  <c r="L114"/>
  <c r="K114"/>
  <c r="J114"/>
  <c r="R114"/>
  <c r="F114"/>
  <c r="E114"/>
  <c r="G114"/>
  <c r="Q113"/>
  <c r="P113"/>
  <c r="O113"/>
  <c r="N113"/>
  <c r="M113"/>
  <c r="L113"/>
  <c r="K113"/>
  <c r="J113"/>
  <c r="F113"/>
  <c r="E113"/>
  <c r="G113"/>
  <c r="Q112"/>
  <c r="P112"/>
  <c r="O112"/>
  <c r="N112"/>
  <c r="M112"/>
  <c r="L112"/>
  <c r="K112"/>
  <c r="J112"/>
  <c r="R112"/>
  <c r="F112"/>
  <c r="A113"/>
  <c r="E112"/>
  <c r="G112"/>
  <c r="Q111"/>
  <c r="P111"/>
  <c r="O111"/>
  <c r="N111"/>
  <c r="M111"/>
  <c r="L111"/>
  <c r="K111"/>
  <c r="J111"/>
  <c r="R111"/>
  <c r="F111"/>
  <c r="E111"/>
  <c r="G111"/>
  <c r="Q110"/>
  <c r="P110"/>
  <c r="O110"/>
  <c r="N110"/>
  <c r="M110"/>
  <c r="L110"/>
  <c r="K110"/>
  <c r="J110"/>
  <c r="R110"/>
  <c r="F110"/>
  <c r="A111"/>
  <c r="E110"/>
  <c r="G110"/>
  <c r="Q109"/>
  <c r="P109"/>
  <c r="O109"/>
  <c r="N109"/>
  <c r="M109"/>
  <c r="L109"/>
  <c r="K109"/>
  <c r="J109"/>
  <c r="F109"/>
  <c r="E109"/>
  <c r="G109"/>
  <c r="Q108"/>
  <c r="P108"/>
  <c r="O108"/>
  <c r="N108"/>
  <c r="M108"/>
  <c r="L108"/>
  <c r="K108"/>
  <c r="J108"/>
  <c r="R108"/>
  <c r="F108"/>
  <c r="A109"/>
  <c r="E108"/>
  <c r="G108"/>
  <c r="Q107"/>
  <c r="P107"/>
  <c r="O107"/>
  <c r="N107"/>
  <c r="M107"/>
  <c r="L107"/>
  <c r="K107"/>
  <c r="J107"/>
  <c r="R107"/>
  <c r="F107"/>
  <c r="E107"/>
  <c r="G107"/>
  <c r="Q106"/>
  <c r="P106"/>
  <c r="O106"/>
  <c r="N106"/>
  <c r="M106"/>
  <c r="L106"/>
  <c r="K106"/>
  <c r="J106"/>
  <c r="R106"/>
  <c r="F106"/>
  <c r="A107"/>
  <c r="E106"/>
  <c r="G106"/>
  <c r="Q105"/>
  <c r="P105"/>
  <c r="O105"/>
  <c r="N105"/>
  <c r="M105"/>
  <c r="L105"/>
  <c r="K105"/>
  <c r="J105"/>
  <c r="R105"/>
  <c r="F105"/>
  <c r="E105"/>
  <c r="G105"/>
  <c r="Q104"/>
  <c r="P104"/>
  <c r="O104"/>
  <c r="N104"/>
  <c r="M104"/>
  <c r="L104"/>
  <c r="K104"/>
  <c r="J104"/>
  <c r="R104"/>
  <c r="F104"/>
  <c r="E104"/>
  <c r="G104"/>
  <c r="Q103"/>
  <c r="P103"/>
  <c r="O103"/>
  <c r="N103"/>
  <c r="M103"/>
  <c r="L103"/>
  <c r="K103"/>
  <c r="J103"/>
  <c r="R103"/>
  <c r="F103"/>
  <c r="A104"/>
  <c r="E103"/>
  <c r="G103"/>
  <c r="Q102"/>
  <c r="P102"/>
  <c r="O102"/>
  <c r="N102"/>
  <c r="M102"/>
  <c r="L102"/>
  <c r="K102"/>
  <c r="J102"/>
  <c r="R102"/>
  <c r="F102"/>
  <c r="E102"/>
  <c r="G102"/>
  <c r="Q101"/>
  <c r="P101"/>
  <c r="O101"/>
  <c r="N101"/>
  <c r="M101"/>
  <c r="L101"/>
  <c r="K101"/>
  <c r="J101"/>
  <c r="R101"/>
  <c r="F101"/>
  <c r="A102"/>
  <c r="E101"/>
  <c r="G101"/>
  <c r="Q100"/>
  <c r="P100"/>
  <c r="O100"/>
  <c r="N100"/>
  <c r="M100"/>
  <c r="L100"/>
  <c r="K100"/>
  <c r="J100"/>
  <c r="R100"/>
  <c r="F100"/>
  <c r="E100"/>
  <c r="G100"/>
  <c r="Q99"/>
  <c r="P99"/>
  <c r="O99"/>
  <c r="N99"/>
  <c r="M99"/>
  <c r="L99"/>
  <c r="K99"/>
  <c r="J99"/>
  <c r="R99"/>
  <c r="F99"/>
  <c r="A100"/>
  <c r="E99"/>
  <c r="G99"/>
  <c r="Q98"/>
  <c r="P98"/>
  <c r="O98"/>
  <c r="N98"/>
  <c r="M98"/>
  <c r="L98"/>
  <c r="K98"/>
  <c r="J98"/>
  <c r="R98"/>
  <c r="F98"/>
  <c r="E98"/>
  <c r="G98"/>
  <c r="Q97"/>
  <c r="P97"/>
  <c r="O97"/>
  <c r="N97"/>
  <c r="M97"/>
  <c r="L97"/>
  <c r="K97"/>
  <c r="J97"/>
  <c r="R97"/>
  <c r="F97"/>
  <c r="A98"/>
  <c r="E97"/>
  <c r="G97"/>
  <c r="Q96"/>
  <c r="P96"/>
  <c r="O96"/>
  <c r="N96"/>
  <c r="M96"/>
  <c r="L96"/>
  <c r="K96"/>
  <c r="J96"/>
  <c r="R96"/>
  <c r="F96"/>
  <c r="E96"/>
  <c r="G96"/>
  <c r="Q95"/>
  <c r="P95"/>
  <c r="O95"/>
  <c r="N95"/>
  <c r="M95"/>
  <c r="L95"/>
  <c r="K95"/>
  <c r="J95"/>
  <c r="F95"/>
  <c r="E95"/>
  <c r="G95"/>
  <c r="Q94"/>
  <c r="P94"/>
  <c r="O94"/>
  <c r="N94"/>
  <c r="M94"/>
  <c r="L94"/>
  <c r="K94"/>
  <c r="J94"/>
  <c r="R94"/>
  <c r="F94"/>
  <c r="E94"/>
  <c r="G94"/>
  <c r="Q93"/>
  <c r="P93"/>
  <c r="O93"/>
  <c r="N93"/>
  <c r="M93"/>
  <c r="L93"/>
  <c r="K93"/>
  <c r="J93"/>
  <c r="F93"/>
  <c r="A94"/>
  <c r="E93"/>
  <c r="G93"/>
  <c r="Q92"/>
  <c r="P92"/>
  <c r="O92"/>
  <c r="N92"/>
  <c r="M92"/>
  <c r="L92"/>
  <c r="K92"/>
  <c r="J92"/>
  <c r="R92"/>
  <c r="F92"/>
  <c r="E92"/>
  <c r="G92"/>
  <c r="Q91"/>
  <c r="P91"/>
  <c r="O91"/>
  <c r="N91"/>
  <c r="M91"/>
  <c r="L91"/>
  <c r="K91"/>
  <c r="J91"/>
  <c r="R91"/>
  <c r="F91"/>
  <c r="A92"/>
  <c r="E91"/>
  <c r="G91"/>
  <c r="Q90"/>
  <c r="P90"/>
  <c r="O90"/>
  <c r="N90"/>
  <c r="M90"/>
  <c r="L90"/>
  <c r="K90"/>
  <c r="J90"/>
  <c r="R90"/>
  <c r="F90"/>
  <c r="E90"/>
  <c r="G90"/>
  <c r="Q89"/>
  <c r="P89"/>
  <c r="O89"/>
  <c r="N89"/>
  <c r="M89"/>
  <c r="L89"/>
  <c r="K89"/>
  <c r="J89"/>
  <c r="R89"/>
  <c r="F89"/>
  <c r="A90"/>
  <c r="E89"/>
  <c r="G89"/>
  <c r="Q88"/>
  <c r="P88"/>
  <c r="O88"/>
  <c r="N88"/>
  <c r="M88"/>
  <c r="L88"/>
  <c r="K88"/>
  <c r="J88"/>
  <c r="F88"/>
  <c r="A89"/>
  <c r="E88"/>
  <c r="G88"/>
  <c r="Q87"/>
  <c r="P87"/>
  <c r="O87"/>
  <c r="N87"/>
  <c r="M87"/>
  <c r="L87"/>
  <c r="K87"/>
  <c r="J87"/>
  <c r="R87"/>
  <c r="F87"/>
  <c r="E87"/>
  <c r="G87"/>
  <c r="Q86"/>
  <c r="P86"/>
  <c r="O86"/>
  <c r="N86"/>
  <c r="M86"/>
  <c r="L86"/>
  <c r="K86"/>
  <c r="J86"/>
  <c r="R86"/>
  <c r="F86"/>
  <c r="A87"/>
  <c r="E86"/>
  <c r="G86"/>
  <c r="Q85"/>
  <c r="P85"/>
  <c r="O85"/>
  <c r="N85"/>
  <c r="M85"/>
  <c r="L85"/>
  <c r="K85"/>
  <c r="J85"/>
  <c r="R85"/>
  <c r="F85"/>
  <c r="E85"/>
  <c r="G85"/>
  <c r="Q84"/>
  <c r="P84"/>
  <c r="O84"/>
  <c r="N84"/>
  <c r="M84"/>
  <c r="L84"/>
  <c r="K84"/>
  <c r="J84"/>
  <c r="F84"/>
  <c r="E84"/>
  <c r="G84"/>
  <c r="Q83"/>
  <c r="P83"/>
  <c r="O83"/>
  <c r="N83"/>
  <c r="M83"/>
  <c r="L83"/>
  <c r="K83"/>
  <c r="J83"/>
  <c r="F83"/>
  <c r="E83"/>
  <c r="G83"/>
  <c r="Q82"/>
  <c r="P82"/>
  <c r="O82"/>
  <c r="N82"/>
  <c r="M82"/>
  <c r="L82"/>
  <c r="K82"/>
  <c r="J82"/>
  <c r="R82"/>
  <c r="F82"/>
  <c r="E82"/>
  <c r="G82"/>
  <c r="Q81"/>
  <c r="P81"/>
  <c r="O81"/>
  <c r="N81"/>
  <c r="M81"/>
  <c r="L81"/>
  <c r="K81"/>
  <c r="J81"/>
  <c r="R81"/>
  <c r="F81"/>
  <c r="E81"/>
  <c r="G81"/>
  <c r="Q80"/>
  <c r="P80"/>
  <c r="O80"/>
  <c r="N80"/>
  <c r="M80"/>
  <c r="L80"/>
  <c r="K80"/>
  <c r="J80"/>
  <c r="R80"/>
  <c r="F80"/>
  <c r="A81"/>
  <c r="E80"/>
  <c r="G80"/>
  <c r="Q79"/>
  <c r="P79"/>
  <c r="O79"/>
  <c r="N79"/>
  <c r="M79"/>
  <c r="L79"/>
  <c r="K79"/>
  <c r="J79"/>
  <c r="R79"/>
  <c r="F79"/>
  <c r="E79"/>
  <c r="G79"/>
  <c r="Q78"/>
  <c r="P78"/>
  <c r="O78"/>
  <c r="N78"/>
  <c r="M78"/>
  <c r="L78"/>
  <c r="K78"/>
  <c r="J78"/>
  <c r="F78"/>
  <c r="E78"/>
  <c r="G78"/>
  <c r="Q77"/>
  <c r="P77"/>
  <c r="O77"/>
  <c r="N77"/>
  <c r="M77"/>
  <c r="L77"/>
  <c r="K77"/>
  <c r="J77"/>
  <c r="R77"/>
  <c r="F77"/>
  <c r="E77"/>
  <c r="G77"/>
  <c r="A88"/>
  <c r="A108"/>
  <c r="A110"/>
  <c r="A112"/>
  <c r="A124"/>
  <c r="A132"/>
  <c r="A134"/>
  <c r="B134"/>
  <c r="A143"/>
  <c r="A82"/>
  <c r="A83"/>
  <c r="A91"/>
  <c r="A93"/>
  <c r="A95"/>
  <c r="A96"/>
  <c r="A99"/>
  <c r="A101"/>
  <c r="A103"/>
  <c r="A105"/>
  <c r="A117"/>
  <c r="A141"/>
  <c r="A114"/>
  <c r="A115"/>
  <c r="A126"/>
  <c r="A135"/>
  <c r="Q76"/>
  <c r="P76"/>
  <c r="O76"/>
  <c r="N76"/>
  <c r="M76"/>
  <c r="L76"/>
  <c r="K76"/>
  <c r="J76"/>
  <c r="R76"/>
  <c r="F76"/>
  <c r="A77"/>
  <c r="E76"/>
  <c r="G76"/>
  <c r="Q75"/>
  <c r="P75"/>
  <c r="O75"/>
  <c r="N75"/>
  <c r="M75"/>
  <c r="L75"/>
  <c r="K75"/>
  <c r="J75"/>
  <c r="R75"/>
  <c r="F75"/>
  <c r="E75"/>
  <c r="G75"/>
  <c r="Q74"/>
  <c r="P74"/>
  <c r="O74"/>
  <c r="N74"/>
  <c r="M74"/>
  <c r="L74"/>
  <c r="K74"/>
  <c r="J74"/>
  <c r="F74"/>
  <c r="E74"/>
  <c r="G74"/>
  <c r="Q73"/>
  <c r="P73"/>
  <c r="O73"/>
  <c r="N73"/>
  <c r="M73"/>
  <c r="L73"/>
  <c r="K73"/>
  <c r="J73"/>
  <c r="F73"/>
  <c r="A74"/>
  <c r="E73"/>
  <c r="G73"/>
  <c r="Q72"/>
  <c r="P72"/>
  <c r="O72"/>
  <c r="N72"/>
  <c r="M72"/>
  <c r="L72"/>
  <c r="K72"/>
  <c r="J72"/>
  <c r="F72"/>
  <c r="E72"/>
  <c r="G72"/>
  <c r="Q71"/>
  <c r="P71"/>
  <c r="O71"/>
  <c r="N71"/>
  <c r="M71"/>
  <c r="L71"/>
  <c r="K71"/>
  <c r="J71"/>
  <c r="R71"/>
  <c r="F71"/>
  <c r="E71"/>
  <c r="G71"/>
  <c r="Q70"/>
  <c r="P70"/>
  <c r="O70"/>
  <c r="N70"/>
  <c r="M70"/>
  <c r="L70"/>
  <c r="K70"/>
  <c r="J70"/>
  <c r="R70"/>
  <c r="F70"/>
  <c r="E70"/>
  <c r="G70"/>
  <c r="Q69"/>
  <c r="P69"/>
  <c r="O69"/>
  <c r="N69"/>
  <c r="M69"/>
  <c r="L69"/>
  <c r="K69"/>
  <c r="J69"/>
  <c r="R69"/>
  <c r="F69"/>
  <c r="E69"/>
  <c r="G69"/>
  <c r="Q68"/>
  <c r="P68"/>
  <c r="O68"/>
  <c r="N68"/>
  <c r="M68"/>
  <c r="L68"/>
  <c r="K68"/>
  <c r="J68"/>
  <c r="F68"/>
  <c r="A69"/>
  <c r="E68"/>
  <c r="G68"/>
  <c r="Q67"/>
  <c r="P67"/>
  <c r="O67"/>
  <c r="N67"/>
  <c r="M67"/>
  <c r="L67"/>
  <c r="K67"/>
  <c r="J67"/>
  <c r="R67"/>
  <c r="F67"/>
  <c r="E67"/>
  <c r="G67"/>
  <c r="Q66"/>
  <c r="P66"/>
  <c r="O66"/>
  <c r="N66"/>
  <c r="M66"/>
  <c r="L66"/>
  <c r="K66"/>
  <c r="J66"/>
  <c r="F66"/>
  <c r="A67"/>
  <c r="E66"/>
  <c r="G66"/>
  <c r="Q65"/>
  <c r="P65"/>
  <c r="O65"/>
  <c r="N65"/>
  <c r="M65"/>
  <c r="L65"/>
  <c r="K65"/>
  <c r="J65"/>
  <c r="R65"/>
  <c r="F65"/>
  <c r="E65"/>
  <c r="G65"/>
  <c r="Q64"/>
  <c r="P64"/>
  <c r="O64"/>
  <c r="N64"/>
  <c r="M64"/>
  <c r="L64"/>
  <c r="K64"/>
  <c r="J64"/>
  <c r="R64"/>
  <c r="F64"/>
  <c r="A65"/>
  <c r="E64"/>
  <c r="G64"/>
  <c r="Q63"/>
  <c r="P63"/>
  <c r="O63"/>
  <c r="N63"/>
  <c r="M63"/>
  <c r="L63"/>
  <c r="K63"/>
  <c r="J63"/>
  <c r="R63"/>
  <c r="F63"/>
  <c r="E63"/>
  <c r="G63"/>
  <c r="Q62"/>
  <c r="P62"/>
  <c r="O62"/>
  <c r="N62"/>
  <c r="M62"/>
  <c r="L62"/>
  <c r="K62"/>
  <c r="J62"/>
  <c r="R62"/>
  <c r="F62"/>
  <c r="A63"/>
  <c r="E62"/>
  <c r="G62"/>
  <c r="Q61"/>
  <c r="P61"/>
  <c r="O61"/>
  <c r="N61"/>
  <c r="M61"/>
  <c r="L61"/>
  <c r="K61"/>
  <c r="J61"/>
  <c r="F61"/>
  <c r="E61"/>
  <c r="G61"/>
  <c r="Q60"/>
  <c r="P60"/>
  <c r="O60"/>
  <c r="N60"/>
  <c r="M60"/>
  <c r="L60"/>
  <c r="K60"/>
  <c r="J60"/>
  <c r="F60"/>
  <c r="A61"/>
  <c r="E60"/>
  <c r="G60"/>
  <c r="Q59"/>
  <c r="P59"/>
  <c r="O59"/>
  <c r="N59"/>
  <c r="M59"/>
  <c r="L59"/>
  <c r="K59"/>
  <c r="J59"/>
  <c r="R59"/>
  <c r="F59"/>
  <c r="E59"/>
  <c r="G59"/>
  <c r="Q58"/>
  <c r="P58"/>
  <c r="O58"/>
  <c r="N58"/>
  <c r="M58"/>
  <c r="L58"/>
  <c r="K58"/>
  <c r="J58"/>
  <c r="F58"/>
  <c r="A59"/>
  <c r="E58"/>
  <c r="G58"/>
  <c r="Q57"/>
  <c r="P57"/>
  <c r="O57"/>
  <c r="N57"/>
  <c r="M57"/>
  <c r="L57"/>
  <c r="K57"/>
  <c r="J57"/>
  <c r="R57"/>
  <c r="F57"/>
  <c r="E57"/>
  <c r="G57"/>
  <c r="Q56"/>
  <c r="P56"/>
  <c r="O56"/>
  <c r="N56"/>
  <c r="M56"/>
  <c r="L56"/>
  <c r="K56"/>
  <c r="J56"/>
  <c r="R56"/>
  <c r="F56"/>
  <c r="E56"/>
  <c r="G56"/>
  <c r="Q55"/>
  <c r="P55"/>
  <c r="O55"/>
  <c r="N55"/>
  <c r="M55"/>
  <c r="L55"/>
  <c r="K55"/>
  <c r="J55"/>
  <c r="F55"/>
  <c r="A56"/>
  <c r="E55"/>
  <c r="G55"/>
  <c r="Q54"/>
  <c r="P54"/>
  <c r="O54"/>
  <c r="N54"/>
  <c r="M54"/>
  <c r="L54"/>
  <c r="K54"/>
  <c r="J54"/>
  <c r="R54"/>
  <c r="F54"/>
  <c r="E54"/>
  <c r="G54"/>
  <c r="A66"/>
  <c r="A70"/>
  <c r="A64"/>
  <c r="A68"/>
  <c r="A60"/>
  <c r="B70"/>
  <c r="B83"/>
  <c r="A84"/>
  <c r="A75"/>
  <c r="A57"/>
  <c r="A58"/>
  <c r="A62"/>
  <c r="A71"/>
  <c r="A76"/>
  <c r="B96"/>
  <c r="A78"/>
  <c r="B135"/>
  <c r="B126"/>
  <c r="B114"/>
  <c r="B82"/>
  <c r="A72"/>
  <c r="A73"/>
  <c r="A127"/>
  <c r="A97"/>
  <c r="A136"/>
  <c r="A118"/>
  <c r="A106"/>
  <c r="B118"/>
  <c r="A119"/>
  <c r="B71"/>
  <c r="B84"/>
  <c r="A85"/>
  <c r="B136"/>
  <c r="A137"/>
  <c r="B127"/>
  <c r="A128"/>
  <c r="B72"/>
  <c r="B78"/>
  <c r="A79"/>
  <c r="Q53"/>
  <c r="P53"/>
  <c r="O53"/>
  <c r="N53"/>
  <c r="M53"/>
  <c r="L53"/>
  <c r="K53"/>
  <c r="J53"/>
  <c r="R53"/>
  <c r="F53"/>
  <c r="E53"/>
  <c r="G53"/>
  <c r="Q52"/>
  <c r="P52"/>
  <c r="O52"/>
  <c r="N52"/>
  <c r="M52"/>
  <c r="L52"/>
  <c r="K52"/>
  <c r="J52"/>
  <c r="R52"/>
  <c r="F52"/>
  <c r="E52"/>
  <c r="G52"/>
  <c r="B79"/>
  <c r="A80"/>
  <c r="B128"/>
  <c r="A129"/>
  <c r="B85"/>
  <c r="A86"/>
  <c r="B137"/>
  <c r="A138"/>
  <c r="B119"/>
  <c r="A120"/>
  <c r="Q51"/>
  <c r="P51"/>
  <c r="O51"/>
  <c r="N51"/>
  <c r="M51"/>
  <c r="L51"/>
  <c r="K51"/>
  <c r="J51"/>
  <c r="R51"/>
  <c r="F51"/>
  <c r="E51"/>
  <c r="G51"/>
  <c r="Q50"/>
  <c r="P50"/>
  <c r="O50"/>
  <c r="N50"/>
  <c r="M50"/>
  <c r="L50"/>
  <c r="K50"/>
  <c r="J50"/>
  <c r="F50"/>
  <c r="E50"/>
  <c r="G50"/>
  <c r="Q49"/>
  <c r="P49"/>
  <c r="O49"/>
  <c r="N49"/>
  <c r="M49"/>
  <c r="L49"/>
  <c r="K49"/>
  <c r="J49"/>
  <c r="F49"/>
  <c r="E49"/>
  <c r="G49"/>
  <c r="Q48"/>
  <c r="P48"/>
  <c r="O48"/>
  <c r="N48"/>
  <c r="M48"/>
  <c r="L48"/>
  <c r="K48"/>
  <c r="J48"/>
  <c r="R48"/>
  <c r="F48"/>
  <c r="E48"/>
  <c r="G48"/>
  <c r="B138"/>
  <c r="A139"/>
  <c r="B120"/>
  <c r="A121"/>
  <c r="A130"/>
  <c r="B129"/>
  <c r="Q47"/>
  <c r="P47"/>
  <c r="O47"/>
  <c r="N47"/>
  <c r="M47"/>
  <c r="L47"/>
  <c r="K47"/>
  <c r="J47"/>
  <c r="R47"/>
  <c r="F47"/>
  <c r="E47"/>
  <c r="G47"/>
  <c r="Q46"/>
  <c r="P46"/>
  <c r="O46"/>
  <c r="N46"/>
  <c r="M46"/>
  <c r="L46"/>
  <c r="K46"/>
  <c r="J46"/>
  <c r="R46"/>
  <c r="F46"/>
  <c r="E46"/>
  <c r="G46"/>
  <c r="Q45"/>
  <c r="P45"/>
  <c r="O45"/>
  <c r="N45"/>
  <c r="M45"/>
  <c r="L45"/>
  <c r="K45"/>
  <c r="J45"/>
  <c r="R45"/>
  <c r="F45"/>
  <c r="A46"/>
  <c r="E45"/>
  <c r="G45"/>
  <c r="Q44"/>
  <c r="P44"/>
  <c r="O44"/>
  <c r="N44"/>
  <c r="M44"/>
  <c r="L44"/>
  <c r="K44"/>
  <c r="J44"/>
  <c r="R44"/>
  <c r="F44"/>
  <c r="E44"/>
  <c r="G44"/>
  <c r="Q43"/>
  <c r="P43"/>
  <c r="O43"/>
  <c r="N43"/>
  <c r="M43"/>
  <c r="L43"/>
  <c r="K43"/>
  <c r="J43"/>
  <c r="R43"/>
  <c r="F43"/>
  <c r="A44"/>
  <c r="E43"/>
  <c r="G43"/>
  <c r="Q42"/>
  <c r="P42"/>
  <c r="O42"/>
  <c r="N42"/>
  <c r="M42"/>
  <c r="L42"/>
  <c r="K42"/>
  <c r="J42"/>
  <c r="F42"/>
  <c r="E42"/>
  <c r="G42"/>
  <c r="Q41"/>
  <c r="P41"/>
  <c r="O41"/>
  <c r="N41"/>
  <c r="M41"/>
  <c r="L41"/>
  <c r="K41"/>
  <c r="J41"/>
  <c r="R41"/>
  <c r="F41"/>
  <c r="E41"/>
  <c r="G41"/>
  <c r="Q40"/>
  <c r="P40"/>
  <c r="O40"/>
  <c r="N40"/>
  <c r="M40"/>
  <c r="L40"/>
  <c r="K40"/>
  <c r="J40"/>
  <c r="F40"/>
  <c r="A41"/>
  <c r="E40"/>
  <c r="G40"/>
  <c r="Q39"/>
  <c r="P39"/>
  <c r="O39"/>
  <c r="N39"/>
  <c r="M39"/>
  <c r="L39"/>
  <c r="K39"/>
  <c r="J39"/>
  <c r="R39"/>
  <c r="F39"/>
  <c r="E39"/>
  <c r="G39"/>
  <c r="A45"/>
  <c r="A47"/>
  <c r="A48"/>
  <c r="A42"/>
  <c r="B42"/>
  <c r="B121"/>
  <c r="A122"/>
  <c r="Q38"/>
  <c r="P38"/>
  <c r="O38"/>
  <c r="N38"/>
  <c r="M38"/>
  <c r="L38"/>
  <c r="K38"/>
  <c r="J38"/>
  <c r="R38"/>
  <c r="F38"/>
  <c r="E38"/>
  <c r="G38"/>
  <c r="Q37"/>
  <c r="P37"/>
  <c r="O37"/>
  <c r="N37"/>
  <c r="M37"/>
  <c r="L37"/>
  <c r="K37"/>
  <c r="J37"/>
  <c r="R37"/>
  <c r="F37"/>
  <c r="E37"/>
  <c r="G37"/>
  <c r="Q36"/>
  <c r="P36"/>
  <c r="O36"/>
  <c r="N36"/>
  <c r="M36"/>
  <c r="L36"/>
  <c r="K36"/>
  <c r="J36"/>
  <c r="R36"/>
  <c r="F36"/>
  <c r="E36"/>
  <c r="G36"/>
  <c r="Q35"/>
  <c r="P35"/>
  <c r="O35"/>
  <c r="N35"/>
  <c r="M35"/>
  <c r="L35"/>
  <c r="K35"/>
  <c r="J35"/>
  <c r="F35"/>
  <c r="E35"/>
  <c r="G35"/>
  <c r="Q34"/>
  <c r="P34"/>
  <c r="O34"/>
  <c r="N34"/>
  <c r="M34"/>
  <c r="L34"/>
  <c r="K34"/>
  <c r="J34"/>
  <c r="R34"/>
  <c r="F34"/>
  <c r="E34"/>
  <c r="G34"/>
  <c r="Q33"/>
  <c r="P33"/>
  <c r="O33"/>
  <c r="N33"/>
  <c r="M33"/>
  <c r="L33"/>
  <c r="K33"/>
  <c r="J33"/>
  <c r="R33"/>
  <c r="F33"/>
  <c r="E33"/>
  <c r="G33"/>
  <c r="Q32"/>
  <c r="P32"/>
  <c r="O32"/>
  <c r="N32"/>
  <c r="M32"/>
  <c r="L32"/>
  <c r="K32"/>
  <c r="J32"/>
  <c r="R32"/>
  <c r="F32"/>
  <c r="E32"/>
  <c r="G32"/>
  <c r="Q31"/>
  <c r="P31"/>
  <c r="O31"/>
  <c r="N31"/>
  <c r="M31"/>
  <c r="L31"/>
  <c r="K31"/>
  <c r="J31"/>
  <c r="F31"/>
  <c r="A32"/>
  <c r="E31"/>
  <c r="G31"/>
  <c r="Q30"/>
  <c r="P30"/>
  <c r="O30"/>
  <c r="N30"/>
  <c r="M30"/>
  <c r="L30"/>
  <c r="K30"/>
  <c r="J30"/>
  <c r="F30"/>
  <c r="E30"/>
  <c r="G30"/>
  <c r="Q29"/>
  <c r="P29"/>
  <c r="O29"/>
  <c r="N29"/>
  <c r="M29"/>
  <c r="L29"/>
  <c r="K29"/>
  <c r="J29"/>
  <c r="R29"/>
  <c r="F29"/>
  <c r="E29"/>
  <c r="G29"/>
  <c r="Q28"/>
  <c r="P28"/>
  <c r="O28"/>
  <c r="N28"/>
  <c r="M28"/>
  <c r="L28"/>
  <c r="K28"/>
  <c r="J28"/>
  <c r="R28"/>
  <c r="F28"/>
  <c r="E28"/>
  <c r="G28"/>
  <c r="Q27"/>
  <c r="P27"/>
  <c r="O27"/>
  <c r="N27"/>
  <c r="M27"/>
  <c r="L27"/>
  <c r="K27"/>
  <c r="J27"/>
  <c r="R27"/>
  <c r="F27"/>
  <c r="E27"/>
  <c r="G27"/>
  <c r="Q26"/>
  <c r="P26"/>
  <c r="O26"/>
  <c r="N26"/>
  <c r="M26"/>
  <c r="L26"/>
  <c r="K26"/>
  <c r="J26"/>
  <c r="R26"/>
  <c r="F26"/>
  <c r="E26"/>
  <c r="G26"/>
  <c r="Q25"/>
  <c r="P25"/>
  <c r="O25"/>
  <c r="N25"/>
  <c r="M25"/>
  <c r="L25"/>
  <c r="K25"/>
  <c r="J25"/>
  <c r="R25"/>
  <c r="F25"/>
  <c r="E25"/>
  <c r="G25"/>
  <c r="Q24"/>
  <c r="P24"/>
  <c r="O24"/>
  <c r="N24"/>
  <c r="M24"/>
  <c r="L24"/>
  <c r="K24"/>
  <c r="J24"/>
  <c r="R24"/>
  <c r="F24"/>
  <c r="E24"/>
  <c r="G24"/>
  <c r="A33"/>
  <c r="A43"/>
  <c r="A26"/>
  <c r="A34"/>
  <c r="B48"/>
  <c r="A49"/>
  <c r="A27"/>
  <c r="A28"/>
  <c r="AO5"/>
  <c r="AO6"/>
  <c r="AO7"/>
  <c r="AO8"/>
  <c r="AO9"/>
  <c r="AO10"/>
  <c r="AO11"/>
  <c r="AO12"/>
  <c r="AO13"/>
  <c r="AO14"/>
  <c r="AO15"/>
  <c r="AO16"/>
  <c r="AO17"/>
  <c r="AO18"/>
  <c r="AO19"/>
  <c r="AO20"/>
  <c r="AO21"/>
  <c r="AO22"/>
  <c r="AO23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Q23"/>
  <c r="P23"/>
  <c r="O23"/>
  <c r="N23"/>
  <c r="M23"/>
  <c r="L23"/>
  <c r="K23"/>
  <c r="J23"/>
  <c r="R23"/>
  <c r="F23"/>
  <c r="E23"/>
  <c r="G23"/>
  <c r="B28"/>
  <c r="A29"/>
  <c r="A50"/>
  <c r="B49"/>
  <c r="B34"/>
  <c r="A35"/>
  <c r="Q22"/>
  <c r="P22"/>
  <c r="O22"/>
  <c r="N22"/>
  <c r="M22"/>
  <c r="L22"/>
  <c r="K22"/>
  <c r="J22"/>
  <c r="F22"/>
  <c r="E22"/>
  <c r="G22"/>
  <c r="B35"/>
  <c r="A36"/>
  <c r="B29"/>
  <c r="A30"/>
  <c r="A51"/>
  <c r="B50"/>
  <c r="Q21"/>
  <c r="P21"/>
  <c r="O21"/>
  <c r="N21"/>
  <c r="M21"/>
  <c r="L21"/>
  <c r="K21"/>
  <c r="J21"/>
  <c r="R21"/>
  <c r="F21"/>
  <c r="E21"/>
  <c r="G21"/>
  <c r="B51"/>
  <c r="A52"/>
  <c r="B30"/>
  <c r="A31"/>
  <c r="B36"/>
  <c r="A37"/>
  <c r="Q20"/>
  <c r="P20"/>
  <c r="O20"/>
  <c r="N20"/>
  <c r="M20"/>
  <c r="L20"/>
  <c r="K20"/>
  <c r="J20"/>
  <c r="R20"/>
  <c r="F20"/>
  <c r="A21"/>
  <c r="A22"/>
  <c r="E20"/>
  <c r="G20"/>
  <c r="B22"/>
  <c r="A23"/>
  <c r="B37"/>
  <c r="A38"/>
  <c r="A53"/>
  <c r="B52"/>
  <c r="B38"/>
  <c r="A39"/>
  <c r="B53"/>
  <c r="A54"/>
  <c r="B23"/>
  <c r="A24"/>
  <c r="Q19"/>
  <c r="P19"/>
  <c r="O19"/>
  <c r="N19"/>
  <c r="M19"/>
  <c r="L19"/>
  <c r="K19"/>
  <c r="J19"/>
  <c r="R19"/>
  <c r="F19"/>
  <c r="E19"/>
  <c r="G19"/>
  <c r="B24"/>
  <c r="A25"/>
  <c r="A55"/>
  <c r="B54"/>
  <c r="A40"/>
  <c r="B39"/>
  <c r="Q18"/>
  <c r="P18"/>
  <c r="O18"/>
  <c r="N18"/>
  <c r="M18"/>
  <c r="L18"/>
  <c r="K18"/>
  <c r="J18"/>
  <c r="R18"/>
  <c r="F18"/>
  <c r="E18"/>
  <c r="G18"/>
  <c r="Q17"/>
  <c r="P17"/>
  <c r="O17"/>
  <c r="N17"/>
  <c r="M17"/>
  <c r="L17"/>
  <c r="K17"/>
  <c r="J17"/>
  <c r="R17"/>
  <c r="F17"/>
  <c r="E17"/>
  <c r="G17"/>
  <c r="Q16"/>
  <c r="P16"/>
  <c r="O16"/>
  <c r="N16"/>
  <c r="M16"/>
  <c r="L16"/>
  <c r="K16"/>
  <c r="J16"/>
  <c r="F16"/>
  <c r="E16"/>
  <c r="G16"/>
  <c r="Q15"/>
  <c r="P15"/>
  <c r="O15"/>
  <c r="N15"/>
  <c r="M15"/>
  <c r="L15"/>
  <c r="K15"/>
  <c r="J15"/>
  <c r="F15"/>
  <c r="E15"/>
  <c r="G15"/>
  <c r="Q14"/>
  <c r="P14"/>
  <c r="O14"/>
  <c r="N14"/>
  <c r="M14"/>
  <c r="L14"/>
  <c r="K14"/>
  <c r="J14"/>
  <c r="F14"/>
  <c r="E14"/>
  <c r="G14"/>
  <c r="Q13"/>
  <c r="P13"/>
  <c r="O13"/>
  <c r="N13"/>
  <c r="M13"/>
  <c r="L13"/>
  <c r="K13"/>
  <c r="J13"/>
  <c r="R13"/>
  <c r="F13"/>
  <c r="E13"/>
  <c r="G13"/>
  <c r="Q12"/>
  <c r="P12"/>
  <c r="O12"/>
  <c r="N12"/>
  <c r="M12"/>
  <c r="L12"/>
  <c r="K12"/>
  <c r="J12"/>
  <c r="R12"/>
  <c r="F12"/>
  <c r="E12"/>
  <c r="G12"/>
  <c r="Q11"/>
  <c r="P11"/>
  <c r="O11"/>
  <c r="N11"/>
  <c r="M11"/>
  <c r="L11"/>
  <c r="K11"/>
  <c r="J11"/>
  <c r="R11"/>
  <c r="F11"/>
  <c r="E11"/>
  <c r="G11"/>
  <c r="Q10"/>
  <c r="P10"/>
  <c r="O10"/>
  <c r="N10"/>
  <c r="M10"/>
  <c r="L10"/>
  <c r="K10"/>
  <c r="J10"/>
  <c r="R10"/>
  <c r="F10"/>
  <c r="A11"/>
  <c r="E10"/>
  <c r="G10"/>
  <c r="A12"/>
  <c r="B12"/>
  <c r="A13"/>
  <c r="Q9"/>
  <c r="P9"/>
  <c r="O9"/>
  <c r="N9"/>
  <c r="M9"/>
  <c r="L9"/>
  <c r="K9"/>
  <c r="J9"/>
  <c r="R9"/>
  <c r="F9"/>
  <c r="E9"/>
  <c r="G9"/>
  <c r="B13"/>
  <c r="A14"/>
  <c r="B14"/>
  <c r="A15"/>
  <c r="Q8"/>
  <c r="P8"/>
  <c r="O8"/>
  <c r="N8"/>
  <c r="M8"/>
  <c r="L8"/>
  <c r="K8"/>
  <c r="J8"/>
  <c r="F8"/>
  <c r="E8"/>
  <c r="G8"/>
  <c r="Q7"/>
  <c r="P7"/>
  <c r="O7"/>
  <c r="N7"/>
  <c r="M7"/>
  <c r="L7"/>
  <c r="K7"/>
  <c r="J7"/>
  <c r="R7"/>
  <c r="F7"/>
  <c r="E7"/>
  <c r="G7"/>
  <c r="B15"/>
  <c r="A16"/>
  <c r="B16"/>
  <c r="A17"/>
  <c r="B17"/>
  <c r="A18"/>
  <c r="Q6"/>
  <c r="P6"/>
  <c r="O6"/>
  <c r="N6"/>
  <c r="M6"/>
  <c r="L6"/>
  <c r="K6"/>
  <c r="J6"/>
  <c r="R6"/>
  <c r="F6"/>
  <c r="E6"/>
  <c r="G6"/>
  <c r="B18"/>
  <c r="A19"/>
  <c r="Q5"/>
  <c r="P5"/>
  <c r="O5"/>
  <c r="N5"/>
  <c r="M5"/>
  <c r="L5"/>
  <c r="K5"/>
  <c r="J5"/>
  <c r="F5"/>
  <c r="E5"/>
  <c r="G5"/>
  <c r="Q4"/>
  <c r="P4"/>
  <c r="O4"/>
  <c r="N4"/>
  <c r="M4"/>
  <c r="L4"/>
  <c r="K4"/>
  <c r="J4"/>
  <c r="R4"/>
  <c r="F4"/>
  <c r="A5"/>
  <c r="E4"/>
  <c r="G4"/>
  <c r="B4"/>
  <c r="Q3"/>
  <c r="P3"/>
  <c r="O3"/>
  <c r="N3"/>
  <c r="M3"/>
  <c r="L3"/>
  <c r="R95"/>
  <c r="R93"/>
  <c r="R5"/>
  <c r="R83"/>
  <c r="R119"/>
  <c r="R78"/>
  <c r="R88"/>
  <c r="R128"/>
  <c r="R109"/>
  <c r="R135"/>
  <c r="R72"/>
  <c r="R68"/>
  <c r="R58"/>
  <c r="R60"/>
  <c r="R66"/>
  <c r="R74"/>
  <c r="R50"/>
  <c r="R40"/>
  <c r="R42"/>
  <c r="R30"/>
  <c r="R35"/>
  <c r="R22"/>
  <c r="R15"/>
  <c r="R8"/>
  <c r="A20"/>
  <c r="B19"/>
  <c r="A6"/>
  <c r="B6"/>
  <c r="A7"/>
  <c r="B5"/>
  <c r="B11"/>
  <c r="B20"/>
  <c r="B21"/>
  <c r="B25"/>
  <c r="B31"/>
  <c r="B33"/>
  <c r="B27"/>
  <c r="B32"/>
  <c r="B26"/>
  <c r="B47"/>
  <c r="B43"/>
  <c r="B46"/>
  <c r="B45"/>
  <c r="B40"/>
  <c r="B44"/>
  <c r="B41"/>
  <c r="B74"/>
  <c r="B69"/>
  <c r="B67"/>
  <c r="B65"/>
  <c r="B63"/>
  <c r="B57"/>
  <c r="B73"/>
  <c r="B58"/>
  <c r="B76"/>
  <c r="B75"/>
  <c r="B68"/>
  <c r="B66"/>
  <c r="B64"/>
  <c r="B62"/>
  <c r="B56"/>
  <c r="B61"/>
  <c r="B55"/>
  <c r="B59"/>
  <c r="B140"/>
  <c r="B125"/>
  <c r="B110"/>
  <c r="B106"/>
  <c r="B102"/>
  <c r="B98"/>
  <c r="B95"/>
  <c r="B91"/>
  <c r="B81"/>
  <c r="B133"/>
  <c r="B122"/>
  <c r="B117"/>
  <c r="B113"/>
  <c r="B109"/>
  <c r="B105"/>
  <c r="B101"/>
  <c r="B97"/>
  <c r="B92"/>
  <c r="B88"/>
  <c r="B86"/>
  <c r="B60"/>
  <c r="B77"/>
  <c r="B130"/>
  <c r="B123"/>
  <c r="B116"/>
  <c r="B112"/>
  <c r="B108"/>
  <c r="B104"/>
  <c r="B100"/>
  <c r="B93"/>
  <c r="B139"/>
  <c r="B124"/>
  <c r="B115"/>
  <c r="B111"/>
  <c r="B107"/>
  <c r="B103"/>
  <c r="B99"/>
  <c r="B94"/>
  <c r="B90"/>
  <c r="B87"/>
  <c r="B80"/>
  <c r="B89"/>
  <c r="B131"/>
  <c r="B132"/>
  <c r="B141"/>
  <c r="B150"/>
  <c r="B143"/>
  <c r="B151"/>
  <c r="B146"/>
  <c r="B147"/>
  <c r="B142"/>
  <c r="B149"/>
  <c r="B144"/>
  <c r="B145"/>
  <c r="B148"/>
  <c r="B152"/>
  <c r="B153"/>
  <c r="A8"/>
  <c r="B7"/>
  <c r="B8"/>
  <c r="A9"/>
  <c r="A10"/>
  <c r="B10"/>
  <c r="B9"/>
  <c r="R14"/>
  <c r="R16"/>
  <c r="R31"/>
  <c r="R49"/>
  <c r="R55"/>
  <c r="R61"/>
  <c r="R73"/>
  <c r="R84"/>
  <c r="R113"/>
  <c r="R120"/>
  <c r="R129"/>
  <c r="R142"/>
  <c r="I5"/>
  <c r="I7"/>
  <c r="I9"/>
  <c r="I77"/>
  <c r="I79"/>
  <c r="I21"/>
  <c r="I23"/>
  <c r="I25"/>
  <c r="I4"/>
  <c r="I6"/>
  <c r="I8"/>
  <c r="I10"/>
  <c r="I78"/>
  <c r="I80"/>
  <c r="I22"/>
  <c r="I24"/>
  <c r="I19"/>
  <c r="I20"/>
  <c r="I18"/>
  <c r="I31"/>
  <c r="I42"/>
  <c r="I121"/>
  <c r="I46"/>
  <c r="I41"/>
  <c r="I32"/>
  <c r="I47"/>
  <c r="I44"/>
  <c r="I33"/>
  <c r="I27"/>
  <c r="I48"/>
  <c r="I50"/>
  <c r="I29"/>
  <c r="I35"/>
  <c r="I11"/>
  <c r="I70"/>
  <c r="I65"/>
  <c r="I62"/>
  <c r="I67"/>
  <c r="I64"/>
  <c r="I81"/>
  <c r="I69"/>
  <c r="I59"/>
  <c r="I82"/>
  <c r="I74"/>
  <c r="I88"/>
  <c r="I72"/>
  <c r="I68"/>
  <c r="I145"/>
  <c r="I149"/>
  <c r="I143"/>
  <c r="I151"/>
  <c r="I101"/>
  <c r="I108"/>
  <c r="I122"/>
  <c r="I152"/>
  <c r="I146"/>
  <c r="I133"/>
  <c r="I97"/>
  <c r="I109"/>
  <c r="I123"/>
  <c r="I73"/>
  <c r="I95"/>
  <c r="I94"/>
  <c r="I104"/>
  <c r="I98"/>
  <c r="I134"/>
  <c r="I113"/>
  <c r="I116"/>
  <c r="I92"/>
  <c r="I117"/>
  <c r="I57"/>
  <c r="I118"/>
  <c r="I136"/>
  <c r="I137"/>
  <c r="I45"/>
  <c r="I129"/>
  <c r="I40"/>
  <c r="I26"/>
  <c r="I28"/>
  <c r="I36"/>
  <c r="I37"/>
  <c r="I38"/>
  <c r="I53"/>
  <c r="I16"/>
  <c r="I14"/>
  <c r="I12"/>
  <c r="I54"/>
  <c r="I85"/>
  <c r="I87"/>
  <c r="I75"/>
  <c r="I66"/>
  <c r="I60"/>
  <c r="I153"/>
  <c r="I147"/>
  <c r="I91"/>
  <c r="I111"/>
  <c r="I112"/>
  <c r="I132"/>
  <c r="I144"/>
  <c r="I141"/>
  <c r="I89"/>
  <c r="I93"/>
  <c r="I99"/>
  <c r="I103"/>
  <c r="I107"/>
  <c r="I115"/>
  <c r="I131"/>
  <c r="I139"/>
  <c r="I106"/>
  <c r="I110"/>
  <c r="I124"/>
  <c r="I130"/>
  <c r="I148"/>
  <c r="I150"/>
  <c r="I55"/>
  <c r="I102"/>
  <c r="I114"/>
  <c r="I90"/>
  <c r="I125"/>
  <c r="I140"/>
  <c r="I100"/>
  <c r="I142"/>
  <c r="I135"/>
  <c r="I105"/>
  <c r="I61"/>
  <c r="I126"/>
  <c r="I96"/>
  <c r="I127"/>
  <c r="I84"/>
  <c r="I119"/>
  <c r="I128"/>
  <c r="I120"/>
  <c r="I43"/>
  <c r="I138"/>
  <c r="I34"/>
  <c r="I49"/>
  <c r="I30"/>
  <c r="I51"/>
  <c r="I52"/>
  <c r="I39"/>
  <c r="I17"/>
  <c r="I15"/>
  <c r="I13"/>
  <c r="I63"/>
  <c r="I71"/>
  <c r="I56"/>
  <c r="I86"/>
  <c r="I76"/>
  <c r="I58"/>
  <c r="I83"/>
  <c r="H21"/>
  <c r="H22"/>
  <c r="H23"/>
  <c r="T23"/>
  <c r="H4"/>
  <c r="T4"/>
  <c r="H5"/>
  <c r="T5"/>
  <c r="H6"/>
  <c r="T6"/>
  <c r="H7"/>
  <c r="T7"/>
  <c r="H8"/>
  <c r="T8"/>
  <c r="H9"/>
  <c r="T9"/>
  <c r="H10"/>
  <c r="T10"/>
  <c r="H11"/>
  <c r="T11"/>
  <c r="H12"/>
  <c r="T12"/>
  <c r="H13"/>
  <c r="T13"/>
  <c r="H14"/>
  <c r="T14"/>
  <c r="H15"/>
  <c r="T15"/>
  <c r="H16"/>
  <c r="T16"/>
  <c r="H17"/>
  <c r="T17"/>
  <c r="H18"/>
  <c r="T18"/>
  <c r="H19"/>
  <c r="T19"/>
  <c r="H20"/>
  <c r="T20"/>
  <c r="T21"/>
  <c r="T22"/>
  <c r="H24"/>
  <c r="T24"/>
  <c r="H25"/>
  <c r="T25"/>
  <c r="H26"/>
  <c r="T26"/>
  <c r="H27"/>
  <c r="T27"/>
  <c r="H28"/>
  <c r="T28"/>
  <c r="H29"/>
  <c r="T29"/>
  <c r="H30"/>
  <c r="T30"/>
  <c r="H31"/>
  <c r="T31"/>
  <c r="H32"/>
  <c r="T32"/>
  <c r="H33"/>
  <c r="T33"/>
  <c r="H34"/>
  <c r="T34"/>
  <c r="H35"/>
  <c r="T35"/>
  <c r="H36"/>
  <c r="T36"/>
  <c r="H37"/>
  <c r="T37"/>
  <c r="H38"/>
  <c r="T38"/>
  <c r="H39"/>
  <c r="T39"/>
  <c r="H40"/>
  <c r="T40"/>
  <c r="H41"/>
  <c r="T41"/>
  <c r="H42"/>
  <c r="T42"/>
  <c r="H43"/>
  <c r="T43"/>
  <c r="H44"/>
  <c r="T44"/>
  <c r="H45"/>
  <c r="T45"/>
  <c r="H46"/>
  <c r="T46"/>
  <c r="H47"/>
  <c r="T47"/>
  <c r="H48"/>
  <c r="T48"/>
  <c r="H49"/>
  <c r="T49"/>
  <c r="H50"/>
  <c r="T50"/>
  <c r="H51"/>
  <c r="T51"/>
  <c r="H52"/>
  <c r="T52"/>
  <c r="H53"/>
  <c r="T53"/>
  <c r="H54"/>
  <c r="T54"/>
  <c r="H55"/>
  <c r="T55"/>
  <c r="H56"/>
  <c r="T56"/>
  <c r="H57"/>
  <c r="T57"/>
  <c r="H58"/>
  <c r="T58"/>
  <c r="H59"/>
  <c r="T59"/>
  <c r="H60"/>
  <c r="T60"/>
  <c r="H61"/>
  <c r="T61"/>
  <c r="H62"/>
  <c r="T62"/>
  <c r="H63"/>
  <c r="T63"/>
  <c r="H64"/>
  <c r="T64"/>
  <c r="H65"/>
  <c r="T65"/>
  <c r="H66"/>
  <c r="T66"/>
  <c r="H67"/>
  <c r="T67"/>
  <c r="H68"/>
  <c r="T68"/>
  <c r="H69"/>
  <c r="T69"/>
  <c r="H70"/>
  <c r="T70"/>
  <c r="H71"/>
  <c r="T71"/>
  <c r="H72"/>
  <c r="T72"/>
  <c r="H73"/>
  <c r="T73"/>
  <c r="H74"/>
  <c r="T74"/>
  <c r="H75"/>
  <c r="T75"/>
  <c r="H76"/>
  <c r="T76"/>
  <c r="H77"/>
  <c r="T77"/>
  <c r="H78"/>
  <c r="T78"/>
  <c r="H79"/>
  <c r="T79"/>
  <c r="H80"/>
  <c r="T80"/>
  <c r="H81"/>
  <c r="T81"/>
  <c r="H82"/>
  <c r="T82"/>
  <c r="H83"/>
  <c r="T83"/>
  <c r="H84"/>
  <c r="T84"/>
  <c r="H85"/>
  <c r="T85"/>
  <c r="H86"/>
  <c r="T86"/>
  <c r="H87"/>
  <c r="T87"/>
  <c r="H88"/>
  <c r="T88"/>
  <c r="H89"/>
  <c r="T89"/>
  <c r="H90"/>
  <c r="T90"/>
  <c r="H91"/>
  <c r="T91"/>
  <c r="H92"/>
  <c r="T92"/>
  <c r="H93"/>
  <c r="T93"/>
  <c r="H94"/>
  <c r="T94"/>
  <c r="H95"/>
  <c r="T95"/>
  <c r="H96"/>
  <c r="T96"/>
  <c r="H97"/>
  <c r="T97"/>
  <c r="H98"/>
  <c r="T98"/>
  <c r="H99"/>
  <c r="T99"/>
  <c r="H100"/>
  <c r="T100"/>
  <c r="H101"/>
  <c r="T101"/>
  <c r="H102"/>
  <c r="T102"/>
  <c r="H103"/>
  <c r="T103"/>
  <c r="H104"/>
  <c r="T104"/>
  <c r="H105"/>
  <c r="T105"/>
  <c r="H106"/>
  <c r="T106"/>
  <c r="H107"/>
  <c r="T107"/>
  <c r="H108"/>
  <c r="T108"/>
  <c r="H109"/>
  <c r="T109"/>
  <c r="H110"/>
  <c r="T110"/>
  <c r="H111"/>
  <c r="T111"/>
  <c r="H112"/>
  <c r="T112"/>
  <c r="H113"/>
  <c r="T113"/>
  <c r="H114"/>
  <c r="T114"/>
  <c r="H115"/>
  <c r="T115"/>
  <c r="H116"/>
  <c r="T116"/>
  <c r="H117"/>
  <c r="T117"/>
  <c r="H118"/>
  <c r="T118"/>
  <c r="H119"/>
  <c r="T119"/>
  <c r="H120"/>
  <c r="T120"/>
  <c r="H121"/>
  <c r="T121"/>
  <c r="H122"/>
  <c r="T122"/>
  <c r="H123"/>
  <c r="T123"/>
  <c r="H124"/>
  <c r="T124"/>
  <c r="H125"/>
  <c r="T125"/>
  <c r="H126"/>
  <c r="T126"/>
  <c r="H127"/>
  <c r="T127"/>
  <c r="H128"/>
  <c r="T128"/>
  <c r="H129"/>
  <c r="T129"/>
  <c r="H130"/>
  <c r="T130"/>
  <c r="H131"/>
  <c r="T131"/>
  <c r="H132"/>
  <c r="T132"/>
  <c r="H133"/>
  <c r="T133"/>
  <c r="H134"/>
  <c r="T134"/>
  <c r="H135"/>
  <c r="T135"/>
  <c r="H136"/>
  <c r="T136"/>
  <c r="H137"/>
  <c r="T137"/>
  <c r="H138"/>
  <c r="T138"/>
  <c r="H139"/>
  <c r="T139"/>
  <c r="H140"/>
  <c r="T140"/>
  <c r="H141"/>
  <c r="T141"/>
  <c r="H142"/>
  <c r="T142"/>
  <c r="H143"/>
  <c r="T143"/>
  <c r="H144"/>
  <c r="T144"/>
  <c r="H145"/>
  <c r="T145"/>
  <c r="H146"/>
  <c r="T146"/>
  <c r="H147"/>
  <c r="T147"/>
  <c r="H148"/>
  <c r="T148"/>
  <c r="H149"/>
  <c r="T149"/>
  <c r="H150"/>
  <c r="T150"/>
  <c r="H151"/>
  <c r="T151"/>
  <c r="H152"/>
  <c r="T152"/>
  <c r="H153"/>
  <c r="T153"/>
  <c r="U23"/>
  <c r="U24"/>
  <c r="U4"/>
  <c r="U6"/>
  <c r="U7"/>
  <c r="U9"/>
  <c r="U10"/>
  <c r="U77"/>
  <c r="U78"/>
  <c r="U80"/>
  <c r="U5"/>
  <c r="W5"/>
  <c r="W7"/>
  <c r="W9"/>
  <c r="W77"/>
  <c r="U79"/>
  <c r="W79"/>
  <c r="U21"/>
  <c r="W21"/>
  <c r="W23"/>
  <c r="U25"/>
  <c r="W25"/>
  <c r="W4"/>
  <c r="W6"/>
  <c r="U8"/>
  <c r="W8"/>
  <c r="W10"/>
  <c r="W78"/>
  <c r="W80"/>
  <c r="U22"/>
  <c r="W22"/>
  <c r="W24"/>
  <c r="U19"/>
  <c r="W19"/>
  <c r="U20"/>
  <c r="W20"/>
  <c r="U18"/>
  <c r="W18"/>
  <c r="U31"/>
  <c r="W31"/>
  <c r="U42"/>
  <c r="W42"/>
  <c r="U121"/>
  <c r="W121"/>
  <c r="U46"/>
  <c r="W46"/>
  <c r="U41"/>
  <c r="W41"/>
  <c r="U32"/>
  <c r="W32"/>
  <c r="U47"/>
  <c r="W47"/>
  <c r="U44"/>
  <c r="W44"/>
  <c r="U33"/>
  <c r="W33"/>
  <c r="U27"/>
  <c r="W27"/>
  <c r="U48"/>
  <c r="W48"/>
  <c r="U50"/>
  <c r="W50"/>
  <c r="U29"/>
  <c r="W29"/>
  <c r="U35"/>
  <c r="W35"/>
  <c r="U11"/>
  <c r="W11"/>
  <c r="U70"/>
  <c r="W70"/>
  <c r="U65"/>
  <c r="W65"/>
  <c r="U62"/>
  <c r="W62"/>
  <c r="U67"/>
  <c r="W67"/>
  <c r="U64"/>
  <c r="W64"/>
  <c r="U81"/>
  <c r="W81"/>
  <c r="U69"/>
  <c r="W69"/>
  <c r="U59"/>
  <c r="W59"/>
  <c r="U82"/>
  <c r="W82"/>
  <c r="U74"/>
  <c r="W74"/>
  <c r="U88"/>
  <c r="W88"/>
  <c r="U72"/>
  <c r="W72"/>
  <c r="U68"/>
  <c r="W68"/>
  <c r="U145"/>
  <c r="W145"/>
  <c r="U149"/>
  <c r="W149"/>
  <c r="U143"/>
  <c r="W143"/>
  <c r="U151"/>
  <c r="W151"/>
  <c r="U101"/>
  <c r="W101"/>
  <c r="U108"/>
  <c r="W108"/>
  <c r="U122"/>
  <c r="W122"/>
  <c r="U152"/>
  <c r="W152"/>
  <c r="U146"/>
  <c r="W146"/>
  <c r="U133"/>
  <c r="W133"/>
  <c r="U97"/>
  <c r="W97"/>
  <c r="U109"/>
  <c r="W109"/>
  <c r="U123"/>
  <c r="W123"/>
  <c r="U73"/>
  <c r="W73"/>
  <c r="U95"/>
  <c r="W95"/>
  <c r="U94"/>
  <c r="W94"/>
  <c r="U104"/>
  <c r="W104"/>
  <c r="U98"/>
  <c r="W98"/>
  <c r="U134"/>
  <c r="W134"/>
  <c r="U113"/>
  <c r="W113"/>
  <c r="U116"/>
  <c r="W116"/>
  <c r="U92"/>
  <c r="W92"/>
  <c r="U117"/>
  <c r="W117"/>
  <c r="U57"/>
  <c r="W57"/>
  <c r="U118"/>
  <c r="W118"/>
  <c r="U136"/>
  <c r="W136"/>
  <c r="U137"/>
  <c r="W137"/>
  <c r="U45"/>
  <c r="W45"/>
  <c r="U129"/>
  <c r="W129"/>
  <c r="U40"/>
  <c r="W40"/>
  <c r="U26"/>
  <c r="W26"/>
  <c r="U28"/>
  <c r="W28"/>
  <c r="U36"/>
  <c r="W36"/>
  <c r="U37"/>
  <c r="W37"/>
  <c r="U38"/>
  <c r="W38"/>
  <c r="U53"/>
  <c r="W53"/>
  <c r="U16"/>
  <c r="W16"/>
  <c r="U14"/>
  <c r="W14"/>
  <c r="U12"/>
  <c r="W12"/>
  <c r="U54"/>
  <c r="W54"/>
  <c r="U85"/>
  <c r="W85"/>
  <c r="U87"/>
  <c r="W87"/>
  <c r="U75"/>
  <c r="W75"/>
  <c r="U66"/>
  <c r="W66"/>
  <c r="U60"/>
  <c r="W60"/>
  <c r="U153"/>
  <c r="W153"/>
  <c r="U147"/>
  <c r="W147"/>
  <c r="U91"/>
  <c r="W91"/>
  <c r="U111"/>
  <c r="W111"/>
  <c r="U112"/>
  <c r="W112"/>
  <c r="U132"/>
  <c r="W132"/>
  <c r="U144"/>
  <c r="W144"/>
  <c r="U141"/>
  <c r="W141"/>
  <c r="U89"/>
  <c r="W89"/>
  <c r="U93"/>
  <c r="W93"/>
  <c r="U99"/>
  <c r="W99"/>
  <c r="U103"/>
  <c r="W103"/>
  <c r="U107"/>
  <c r="W107"/>
  <c r="U115"/>
  <c r="W115"/>
  <c r="U131"/>
  <c r="W131"/>
  <c r="U139"/>
  <c r="W139"/>
  <c r="U106"/>
  <c r="W106"/>
  <c r="U110"/>
  <c r="W110"/>
  <c r="U124"/>
  <c r="W124"/>
  <c r="U130"/>
  <c r="W130"/>
  <c r="U148"/>
  <c r="W148"/>
  <c r="U150"/>
  <c r="W150"/>
  <c r="U55"/>
  <c r="W55"/>
  <c r="U102"/>
  <c r="W102"/>
  <c r="U114"/>
  <c r="W114"/>
  <c r="U90"/>
  <c r="W90"/>
  <c r="U125"/>
  <c r="W125"/>
  <c r="U140"/>
  <c r="W140"/>
  <c r="U100"/>
  <c r="W100"/>
  <c r="U142"/>
  <c r="W142"/>
  <c r="U135"/>
  <c r="W135"/>
  <c r="U105"/>
  <c r="W105"/>
  <c r="U61"/>
  <c r="W61"/>
  <c r="U126"/>
  <c r="W126"/>
  <c r="U96"/>
  <c r="W96"/>
  <c r="U127"/>
  <c r="W127"/>
  <c r="U84"/>
  <c r="W84"/>
  <c r="U119"/>
  <c r="W119"/>
  <c r="U128"/>
  <c r="W128"/>
  <c r="U120"/>
  <c r="W120"/>
  <c r="U43"/>
  <c r="W43"/>
  <c r="U138"/>
  <c r="W138"/>
  <c r="U34"/>
  <c r="W34"/>
  <c r="U49"/>
  <c r="W49"/>
  <c r="U30"/>
  <c r="W30"/>
  <c r="U51"/>
  <c r="W51"/>
  <c r="U52"/>
  <c r="W52"/>
  <c r="U39"/>
  <c r="W39"/>
  <c r="U17"/>
  <c r="W17"/>
  <c r="U15"/>
  <c r="W15"/>
  <c r="U13"/>
  <c r="W13"/>
  <c r="U63"/>
  <c r="W63"/>
  <c r="U71"/>
  <c r="W71"/>
  <c r="U56"/>
  <c r="W56"/>
  <c r="U86"/>
  <c r="W86"/>
  <c r="U76"/>
  <c r="W76"/>
  <c r="U58"/>
  <c r="W58"/>
  <c r="U83"/>
  <c r="W83"/>
  <c r="Z4"/>
  <c r="Z5"/>
  <c r="Z6"/>
  <c r="Z7"/>
  <c r="Z8"/>
  <c r="Z9"/>
  <c r="Z10"/>
  <c r="Z11"/>
  <c r="Z12"/>
  <c r="Z13"/>
  <c r="Z14"/>
  <c r="AA14"/>
  <c r="AB14"/>
  <c r="AA4"/>
  <c r="AB4"/>
  <c r="AA5"/>
  <c r="AB5"/>
  <c r="AA6"/>
  <c r="AB6"/>
  <c r="AA7"/>
  <c r="AB7"/>
  <c r="AA8"/>
  <c r="AB8"/>
  <c r="AA9"/>
  <c r="AB9"/>
  <c r="AA10"/>
  <c r="AB10"/>
  <c r="AA11"/>
  <c r="AB11"/>
  <c r="AA12"/>
  <c r="AB12"/>
  <c r="AA13"/>
  <c r="AB13"/>
  <c r="Z15"/>
  <c r="AA15"/>
  <c r="AB15"/>
  <c r="Z16"/>
  <c r="AA16"/>
  <c r="AB16"/>
  <c r="Z17"/>
  <c r="AA17"/>
  <c r="AB17"/>
  <c r="Z18"/>
  <c r="AA18"/>
  <c r="AB18"/>
  <c r="Z19"/>
  <c r="AA19"/>
  <c r="AB19"/>
  <c r="Z20"/>
  <c r="AA20"/>
  <c r="AB20"/>
  <c r="Z21"/>
  <c r="AA21"/>
  <c r="AB21"/>
  <c r="Z22"/>
  <c r="AA22"/>
  <c r="AB22"/>
  <c r="Z23"/>
  <c r="AA23"/>
  <c r="AB23"/>
  <c r="AC14"/>
  <c r="AC4"/>
  <c r="AC5"/>
  <c r="AC6"/>
  <c r="AC7"/>
  <c r="AC8"/>
  <c r="AC9"/>
  <c r="AC10"/>
  <c r="AC11"/>
  <c r="AC12"/>
  <c r="AC13"/>
  <c r="AD14"/>
  <c r="AE14"/>
  <c r="AC23"/>
  <c r="AC15"/>
  <c r="AC16"/>
  <c r="AC17"/>
  <c r="AC18"/>
  <c r="AC19"/>
  <c r="AC20"/>
  <c r="AC21"/>
  <c r="AC22"/>
  <c r="AD23"/>
  <c r="AE23"/>
  <c r="AD12"/>
  <c r="AE12"/>
  <c r="AD13"/>
  <c r="AE13"/>
  <c r="AD20"/>
  <c r="AE20"/>
  <c r="AD6"/>
  <c r="AE6"/>
  <c r="C23"/>
  <c r="D23"/>
  <c r="AD5"/>
  <c r="AE5"/>
  <c r="C22"/>
  <c r="D22"/>
  <c r="AD16"/>
  <c r="AE16"/>
  <c r="AD21"/>
  <c r="AE21"/>
  <c r="AD9"/>
  <c r="AE9"/>
  <c r="AD4"/>
  <c r="AE4"/>
  <c r="C21"/>
  <c r="D21"/>
  <c r="AD19"/>
  <c r="AE19"/>
  <c r="AD8"/>
  <c r="AE8"/>
  <c r="C25"/>
  <c r="D25"/>
  <c r="AD7"/>
  <c r="AE7"/>
  <c r="C24"/>
  <c r="D24"/>
  <c r="AD15"/>
  <c r="AE15"/>
  <c r="AD22"/>
  <c r="AE22"/>
  <c r="AD17"/>
  <c r="AE17"/>
  <c r="AD18"/>
  <c r="AE18"/>
  <c r="AD10"/>
  <c r="AE10"/>
  <c r="AD11"/>
  <c r="AE11"/>
  <c r="C13"/>
  <c r="D13"/>
  <c r="AH4"/>
  <c r="AH5"/>
  <c r="AI5"/>
  <c r="AJ5"/>
  <c r="AI4"/>
  <c r="AJ4"/>
  <c r="AH6"/>
  <c r="AI6"/>
  <c r="AJ6"/>
  <c r="AH7"/>
  <c r="AI7"/>
  <c r="AJ7"/>
  <c r="AH8"/>
  <c r="AI8"/>
  <c r="AJ8"/>
  <c r="AH9"/>
  <c r="AI9"/>
  <c r="AJ9"/>
  <c r="AH10"/>
  <c r="AI10"/>
  <c r="AJ10"/>
  <c r="AH11"/>
  <c r="AI11"/>
  <c r="AJ11"/>
  <c r="AH12"/>
  <c r="AI12"/>
  <c r="AJ12"/>
  <c r="AH13"/>
  <c r="AI13"/>
  <c r="AJ13"/>
  <c r="AH14"/>
  <c r="AI14"/>
  <c r="AJ14"/>
  <c r="AH15"/>
  <c r="AI15"/>
  <c r="AJ15"/>
  <c r="AH16"/>
  <c r="AI16"/>
  <c r="AJ16"/>
  <c r="AH17"/>
  <c r="AI17"/>
  <c r="AJ17"/>
  <c r="AH18"/>
  <c r="AI18"/>
  <c r="AJ18"/>
  <c r="AH19"/>
  <c r="AI19"/>
  <c r="AJ19"/>
  <c r="AH20"/>
  <c r="AI20"/>
  <c r="AJ20"/>
  <c r="AH21"/>
  <c r="AI21"/>
  <c r="AJ21"/>
  <c r="AH22"/>
  <c r="AI22"/>
  <c r="AJ22"/>
  <c r="AH23"/>
  <c r="AI23"/>
  <c r="AJ23"/>
  <c r="AK5"/>
  <c r="AK4"/>
  <c r="AL5"/>
  <c r="AM5"/>
  <c r="C5"/>
  <c r="D5"/>
  <c r="C139"/>
  <c r="D139"/>
  <c r="C138"/>
  <c r="D138"/>
  <c r="C136"/>
  <c r="D136"/>
  <c r="AP4"/>
  <c r="AP5"/>
  <c r="AP6"/>
  <c r="AQ6"/>
  <c r="AR6"/>
  <c r="AQ4"/>
  <c r="AR4"/>
  <c r="AQ5"/>
  <c r="AR5"/>
  <c r="AP7"/>
  <c r="AQ7"/>
  <c r="AR7"/>
  <c r="AP8"/>
  <c r="AQ8"/>
  <c r="AR8"/>
  <c r="AP9"/>
  <c r="AQ9"/>
  <c r="AR9"/>
  <c r="AP10"/>
  <c r="AQ10"/>
  <c r="AR10"/>
  <c r="AP11"/>
  <c r="AQ11"/>
  <c r="AR11"/>
  <c r="AP12"/>
  <c r="AQ12"/>
  <c r="AR12"/>
  <c r="AP13"/>
  <c r="AQ13"/>
  <c r="AR13"/>
  <c r="AP14"/>
  <c r="AQ14"/>
  <c r="AR14"/>
  <c r="AP15"/>
  <c r="AQ15"/>
  <c r="AR15"/>
  <c r="AP16"/>
  <c r="AQ16"/>
  <c r="AR16"/>
  <c r="AP17"/>
  <c r="AQ17"/>
  <c r="AR17"/>
  <c r="AP18"/>
  <c r="AQ18"/>
  <c r="AR18"/>
  <c r="AP19"/>
  <c r="AQ19"/>
  <c r="AR19"/>
  <c r="AP20"/>
  <c r="AQ20"/>
  <c r="AR20"/>
  <c r="AP21"/>
  <c r="AQ21"/>
  <c r="AR21"/>
  <c r="AP22"/>
  <c r="AQ22"/>
  <c r="AR22"/>
  <c r="AP23"/>
  <c r="AQ23"/>
  <c r="AR23"/>
  <c r="AS6"/>
  <c r="AS4"/>
  <c r="AS5"/>
  <c r="AT6"/>
  <c r="AU6"/>
  <c r="C79"/>
  <c r="D79"/>
  <c r="AS7"/>
  <c r="AT7"/>
  <c r="AU7"/>
  <c r="C80"/>
  <c r="D80"/>
  <c r="C133"/>
  <c r="D133"/>
  <c r="AT4"/>
  <c r="AU4"/>
  <c r="C77"/>
  <c r="D77"/>
  <c r="C121"/>
  <c r="D121"/>
  <c r="C120"/>
  <c r="D120"/>
  <c r="C122"/>
  <c r="D122"/>
  <c r="C16"/>
  <c r="D16"/>
  <c r="C17"/>
  <c r="D17"/>
  <c r="C19"/>
  <c r="D19"/>
  <c r="C18"/>
  <c r="D18"/>
  <c r="C20"/>
  <c r="D20"/>
  <c r="C14"/>
  <c r="D14"/>
  <c r="C15"/>
  <c r="D15"/>
  <c r="C116"/>
  <c r="D116"/>
  <c r="C118"/>
  <c r="D118"/>
  <c r="C119"/>
  <c r="D119"/>
  <c r="C12"/>
  <c r="D12"/>
  <c r="AL4"/>
  <c r="AM4"/>
  <c r="C4"/>
  <c r="D4"/>
  <c r="AK9"/>
  <c r="AK6"/>
  <c r="AK7"/>
  <c r="AK8"/>
  <c r="AL9"/>
  <c r="AM9"/>
  <c r="C9"/>
  <c r="D9"/>
  <c r="AL8"/>
  <c r="AM8"/>
  <c r="C8"/>
  <c r="D8"/>
  <c r="C11"/>
  <c r="D11"/>
  <c r="AL7"/>
  <c r="AM7"/>
  <c r="C7"/>
  <c r="D7"/>
  <c r="C33"/>
  <c r="D33"/>
  <c r="C60"/>
  <c r="D60"/>
  <c r="C39"/>
  <c r="D39"/>
  <c r="C37"/>
  <c r="D37"/>
  <c r="C38"/>
  <c r="D38"/>
  <c r="C40"/>
  <c r="D40"/>
  <c r="C36"/>
  <c r="D36"/>
  <c r="C32"/>
  <c r="D32"/>
  <c r="C59"/>
  <c r="D59"/>
  <c r="C34"/>
  <c r="D34"/>
  <c r="AL6"/>
  <c r="AM6"/>
  <c r="C6"/>
  <c r="D6"/>
  <c r="AK15"/>
  <c r="AK10"/>
  <c r="AK11"/>
  <c r="AK12"/>
  <c r="AK13"/>
  <c r="AK14"/>
  <c r="AL15"/>
  <c r="AM15"/>
  <c r="AL11"/>
  <c r="AM11"/>
  <c r="AK16"/>
  <c r="AL16"/>
  <c r="AM16"/>
  <c r="AK20"/>
  <c r="AK17"/>
  <c r="AK18"/>
  <c r="AK19"/>
  <c r="AL20"/>
  <c r="AM20"/>
  <c r="AL10"/>
  <c r="AM10"/>
  <c r="C10"/>
  <c r="D10"/>
  <c r="AL17"/>
  <c r="AM17"/>
  <c r="AL12"/>
  <c r="AM12"/>
  <c r="AL19"/>
  <c r="AM19"/>
  <c r="AS11"/>
  <c r="AS8"/>
  <c r="AS9"/>
  <c r="AS10"/>
  <c r="AT11"/>
  <c r="AU11"/>
  <c r="AS17"/>
  <c r="AS12"/>
  <c r="AS13"/>
  <c r="AS14"/>
  <c r="AS15"/>
  <c r="AS16"/>
  <c r="AT17"/>
  <c r="AU17"/>
  <c r="AS22"/>
  <c r="AS18"/>
  <c r="AS19"/>
  <c r="AS20"/>
  <c r="AS21"/>
  <c r="AT22"/>
  <c r="AU22"/>
  <c r="AS23"/>
  <c r="AT23"/>
  <c r="AU23"/>
  <c r="AT12"/>
  <c r="AU12"/>
  <c r="AT10"/>
  <c r="AU10"/>
  <c r="AT18"/>
  <c r="AU18"/>
  <c r="C35"/>
  <c r="D35"/>
  <c r="AL13"/>
  <c r="AM13"/>
  <c r="AL18"/>
  <c r="AM18"/>
  <c r="AK23"/>
  <c r="AK21"/>
  <c r="AK22"/>
  <c r="AL23"/>
  <c r="AM23"/>
  <c r="AL14"/>
  <c r="AM14"/>
  <c r="C137"/>
  <c r="D137"/>
  <c r="AL21"/>
  <c r="AM21"/>
  <c r="AL22"/>
  <c r="AM22"/>
  <c r="AT9"/>
  <c r="AU9"/>
  <c r="AT13"/>
  <c r="AU13"/>
  <c r="AT19"/>
  <c r="AU19"/>
  <c r="AT21"/>
  <c r="AU21"/>
  <c r="AT15"/>
  <c r="AU15"/>
  <c r="AT16"/>
  <c r="AU16"/>
  <c r="AT14"/>
  <c r="AU14"/>
  <c r="AT20"/>
  <c r="AU20"/>
  <c r="C67"/>
  <c r="D67"/>
  <c r="C134"/>
  <c r="D134"/>
  <c r="C135"/>
  <c r="D135"/>
  <c r="C117"/>
  <c r="D117"/>
  <c r="AT8"/>
  <c r="AU8"/>
  <c r="AT5"/>
  <c r="AU5"/>
  <c r="C78"/>
  <c r="D78"/>
  <c r="C68"/>
  <c r="D68"/>
  <c r="C98"/>
  <c r="D98"/>
  <c r="C124"/>
  <c r="D124"/>
  <c r="C31"/>
  <c r="D31"/>
  <c r="C63"/>
  <c r="D63"/>
  <c r="C113"/>
  <c r="D113"/>
  <c r="C107"/>
  <c r="D107"/>
  <c r="C54"/>
  <c r="D54"/>
  <c r="C106"/>
  <c r="D106"/>
  <c r="C93"/>
  <c r="D93"/>
  <c r="C45"/>
  <c r="D45"/>
  <c r="C108"/>
  <c r="D108"/>
  <c r="C146"/>
  <c r="D146"/>
  <c r="C28"/>
  <c r="D28"/>
  <c r="C44"/>
  <c r="D44"/>
  <c r="C76"/>
  <c r="D76"/>
  <c r="C86"/>
  <c r="D86"/>
  <c r="C151"/>
  <c r="D151"/>
  <c r="C47"/>
  <c r="D47"/>
  <c r="C140"/>
  <c r="D140"/>
  <c r="C143"/>
  <c r="D143"/>
  <c r="C70"/>
  <c r="D70"/>
  <c r="C92"/>
  <c r="D92"/>
  <c r="C150"/>
  <c r="D150"/>
  <c r="C29"/>
  <c r="D29"/>
  <c r="C61"/>
  <c r="D61"/>
  <c r="C105"/>
  <c r="D105"/>
  <c r="C99"/>
  <c r="D99"/>
  <c r="C52"/>
  <c r="D52"/>
  <c r="C129"/>
  <c r="D129"/>
  <c r="C112"/>
  <c r="D112"/>
  <c r="C87"/>
  <c r="D87"/>
  <c r="C152"/>
  <c r="D152"/>
  <c r="C55"/>
  <c r="D55"/>
  <c r="C71"/>
  <c r="D71"/>
  <c r="C102"/>
  <c r="D102"/>
  <c r="C84"/>
  <c r="D84"/>
  <c r="C82"/>
  <c r="D82"/>
  <c r="C148"/>
  <c r="D148"/>
  <c r="C30"/>
  <c r="D30"/>
  <c r="C46"/>
  <c r="D46"/>
  <c r="C62"/>
  <c r="D62"/>
  <c r="C123"/>
  <c r="D123"/>
  <c r="C94"/>
  <c r="D94"/>
  <c r="C145"/>
  <c r="D145"/>
  <c r="C53"/>
  <c r="D53"/>
  <c r="C69"/>
  <c r="D69"/>
  <c r="C95"/>
  <c r="D95"/>
  <c r="C131"/>
  <c r="D131"/>
  <c r="C153"/>
  <c r="D153"/>
  <c r="C115"/>
  <c r="D115"/>
  <c r="C57"/>
  <c r="D57"/>
  <c r="C104"/>
  <c r="D104"/>
  <c r="C127"/>
  <c r="D127"/>
  <c r="C81"/>
  <c r="D81"/>
  <c r="C43"/>
  <c r="D43"/>
  <c r="C132"/>
  <c r="D132"/>
  <c r="C125"/>
  <c r="D125"/>
  <c r="C141"/>
  <c r="D141"/>
  <c r="C130"/>
  <c r="D130"/>
  <c r="C73"/>
  <c r="D73"/>
  <c r="C41"/>
  <c r="D41"/>
  <c r="C89"/>
  <c r="D89"/>
  <c r="C109"/>
  <c r="D109"/>
  <c r="C66"/>
  <c r="D66"/>
  <c r="C50"/>
  <c r="D50"/>
  <c r="C75"/>
  <c r="D75"/>
  <c r="C27"/>
  <c r="D27"/>
  <c r="C96"/>
  <c r="D96"/>
  <c r="C101"/>
  <c r="D101"/>
  <c r="C72"/>
  <c r="D72"/>
  <c r="C56"/>
  <c r="D56"/>
  <c r="C144"/>
  <c r="D144"/>
  <c r="C85"/>
  <c r="D85"/>
  <c r="C83"/>
  <c r="D83"/>
  <c r="C88"/>
  <c r="D88"/>
  <c r="C110"/>
  <c r="D110"/>
  <c r="C65"/>
  <c r="D65"/>
  <c r="C49"/>
  <c r="D49"/>
  <c r="C147"/>
  <c r="D147"/>
  <c r="C111"/>
  <c r="D111"/>
  <c r="C128"/>
  <c r="D128"/>
  <c r="C91"/>
  <c r="D91"/>
  <c r="C74"/>
  <c r="D74"/>
  <c r="C58"/>
  <c r="D58"/>
  <c r="C42"/>
  <c r="D42"/>
  <c r="C26"/>
  <c r="D26"/>
  <c r="C142"/>
  <c r="D142"/>
  <c r="C90"/>
  <c r="D90"/>
  <c r="C100"/>
  <c r="D100"/>
  <c r="C97"/>
  <c r="D97"/>
  <c r="C114"/>
  <c r="D114"/>
  <c r="C51"/>
  <c r="D51"/>
  <c r="C149"/>
  <c r="D149"/>
  <c r="C103"/>
  <c r="D103"/>
  <c r="C126"/>
  <c r="D126"/>
  <c r="C64"/>
  <c r="D64"/>
  <c r="C48"/>
  <c r="D48"/>
  <c r="B60" i="10"/>
  <c r="A60"/>
  <c r="B59"/>
  <c r="A59"/>
  <c r="B58"/>
  <c r="A58"/>
  <c r="B57"/>
  <c r="A57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C10"/>
  <c r="D10"/>
  <c r="D59"/>
  <c r="C59"/>
  <c r="E10"/>
  <c r="D57"/>
  <c r="E59"/>
  <c r="F10"/>
  <c r="C57"/>
  <c r="C61"/>
  <c r="D61"/>
  <c r="F59"/>
  <c r="G10"/>
  <c r="F57"/>
  <c r="E57"/>
  <c r="E61"/>
  <c r="F61"/>
  <c r="G59"/>
  <c r="H10"/>
  <c r="G57"/>
  <c r="G61"/>
  <c r="H59"/>
  <c r="I10"/>
  <c r="H57"/>
  <c r="I59"/>
  <c r="J10"/>
  <c r="I57"/>
  <c r="I61"/>
  <c r="H61"/>
  <c r="J59"/>
  <c r="K10"/>
  <c r="J57"/>
  <c r="J61"/>
  <c r="K59"/>
  <c r="L10"/>
  <c r="K57"/>
  <c r="L59"/>
  <c r="M10"/>
  <c r="L57"/>
  <c r="L61"/>
  <c r="K61"/>
  <c r="M59"/>
  <c r="N10"/>
  <c r="M57"/>
  <c r="N59"/>
  <c r="O10"/>
  <c r="N57"/>
  <c r="O59"/>
  <c r="P10"/>
  <c r="O57"/>
  <c r="P59"/>
  <c r="Q10"/>
  <c r="P57"/>
  <c r="P61"/>
  <c r="O61"/>
  <c r="N61"/>
  <c r="M61"/>
  <c r="Q59"/>
  <c r="R10"/>
  <c r="Q57"/>
  <c r="R59"/>
  <c r="S10"/>
  <c r="R57"/>
  <c r="S59"/>
  <c r="T10"/>
  <c r="S57"/>
  <c r="S61"/>
  <c r="R61"/>
  <c r="Q61"/>
  <c r="T59"/>
  <c r="U10"/>
  <c r="T57"/>
  <c r="T61"/>
  <c r="U59"/>
  <c r="V10"/>
  <c r="U57"/>
  <c r="U61"/>
  <c r="V59"/>
  <c r="W10"/>
  <c r="V57"/>
  <c r="W59"/>
  <c r="X10"/>
  <c r="W57"/>
  <c r="X59"/>
  <c r="Y10"/>
  <c r="X57"/>
  <c r="X61"/>
  <c r="W61"/>
  <c r="V61"/>
  <c r="Y59"/>
  <c r="Z10"/>
  <c r="Y57"/>
  <c r="Y61"/>
  <c r="Z59"/>
  <c r="AA10"/>
  <c r="Z57"/>
  <c r="Z61"/>
  <c r="AA59"/>
  <c r="AB10"/>
  <c r="AA57"/>
  <c r="AB59"/>
  <c r="AC10"/>
  <c r="AB57"/>
  <c r="AB61"/>
  <c r="AA61"/>
  <c r="AC59"/>
  <c r="AD10"/>
  <c r="AC57"/>
  <c r="AD59"/>
  <c r="AE10"/>
  <c r="AD57"/>
  <c r="AE59"/>
  <c r="AF10"/>
  <c r="AE57"/>
  <c r="AE61"/>
  <c r="AD61"/>
  <c r="AC61"/>
  <c r="AF59"/>
  <c r="AG10"/>
  <c r="AF57"/>
  <c r="AG59"/>
  <c r="AH10"/>
  <c r="AG57"/>
  <c r="AG61"/>
  <c r="AF61"/>
  <c r="AH59"/>
  <c r="AI10"/>
  <c r="AH57"/>
  <c r="AH61"/>
  <c r="AI59"/>
  <c r="AJ10"/>
  <c r="AI57"/>
  <c r="AI61"/>
  <c r="AJ59"/>
  <c r="AK10"/>
  <c r="AJ57"/>
  <c r="AK59"/>
  <c r="AL10"/>
  <c r="AK57"/>
  <c r="AK61"/>
  <c r="AL59"/>
  <c r="AM10"/>
  <c r="AL57"/>
  <c r="AL61"/>
  <c r="AJ61"/>
  <c r="AM59"/>
  <c r="AN10"/>
  <c r="AM57"/>
  <c r="AM61"/>
  <c r="AN59"/>
  <c r="AO10"/>
  <c r="AN57"/>
  <c r="AO59"/>
  <c r="AP10"/>
  <c r="AO57"/>
  <c r="AO61"/>
  <c r="AN61"/>
  <c r="AP59"/>
  <c r="AQ10"/>
  <c r="AP57"/>
  <c r="AQ59"/>
  <c r="AR10"/>
  <c r="AQ57"/>
  <c r="AQ61"/>
  <c r="AR59"/>
  <c r="AS10"/>
  <c r="AR57"/>
  <c r="AR61"/>
  <c r="AP61"/>
  <c r="AS59"/>
  <c r="AS57"/>
  <c r="AS61"/>
  <c r="B8" i="11"/>
  <c r="B7"/>
  <c r="B10"/>
  <c r="B6"/>
  <c r="B3"/>
  <c r="B9"/>
  <c r="B11"/>
  <c r="B16"/>
  <c r="B12"/>
  <c r="H5"/>
  <c r="H4"/>
  <c r="AN11" i="1"/>
  <c r="I8"/>
  <c r="AO11"/>
  <c r="AP11"/>
  <c r="AQ11"/>
  <c r="AR11"/>
  <c r="AS11"/>
  <c r="H11"/>
  <c r="H17"/>
  <c r="H23"/>
  <c r="AJ13"/>
  <c r="AK13"/>
  <c r="AL13"/>
  <c r="AM13"/>
  <c r="AN13"/>
  <c r="AO13"/>
  <c r="AP13"/>
  <c r="AQ13"/>
  <c r="AS13"/>
  <c r="AR13"/>
  <c r="K13"/>
  <c r="AU13"/>
  <c r="J13"/>
  <c r="AT13"/>
  <c r="I13"/>
  <c r="AJ14"/>
  <c r="AK14"/>
  <c r="AL14"/>
  <c r="AM14"/>
  <c r="AN14"/>
  <c r="AO14"/>
  <c r="AP14"/>
  <c r="AQ14"/>
  <c r="AS14"/>
  <c r="AR14"/>
  <c r="K14"/>
  <c r="AT14"/>
  <c r="I14"/>
  <c r="AU14"/>
  <c r="J14"/>
  <c r="AJ12"/>
  <c r="AK12"/>
  <c r="AL12"/>
  <c r="AM12"/>
  <c r="AN12"/>
  <c r="AO12"/>
  <c r="AP12"/>
  <c r="AQ12"/>
  <c r="AS12"/>
  <c r="AR12"/>
  <c r="K12"/>
  <c r="AU12"/>
  <c r="J12"/>
  <c r="AT12"/>
  <c r="I12"/>
  <c r="AJ25"/>
  <c r="AK25"/>
  <c r="AL25"/>
  <c r="AM25"/>
  <c r="AN25"/>
  <c r="AO25"/>
  <c r="AP25"/>
  <c r="AQ25"/>
  <c r="AS25"/>
  <c r="AR25"/>
  <c r="K25"/>
  <c r="AU25"/>
  <c r="J25"/>
  <c r="AT25"/>
  <c r="I25"/>
  <c r="AJ24"/>
  <c r="AK24"/>
  <c r="AU24"/>
  <c r="J24"/>
  <c r="AT24"/>
  <c r="I24"/>
  <c r="AL24"/>
  <c r="AM24"/>
  <c r="AN24"/>
  <c r="AO24"/>
  <c r="AP24"/>
  <c r="AQ24"/>
  <c r="AS24"/>
  <c r="AR24"/>
  <c r="K24"/>
  <c r="AJ26"/>
  <c r="AK26"/>
  <c r="AL26"/>
  <c r="AM26"/>
  <c r="AN26"/>
  <c r="AO26"/>
  <c r="AP26"/>
  <c r="AQ26"/>
  <c r="AS26"/>
  <c r="AR26"/>
  <c r="K26"/>
  <c r="AU26"/>
  <c r="J26"/>
  <c r="AT26"/>
  <c r="I26"/>
  <c r="H13"/>
  <c r="H26"/>
  <c r="H25"/>
  <c r="H24"/>
  <c r="H12"/>
  <c r="H14"/>
  <c r="AJ18"/>
  <c r="AK18"/>
  <c r="AU18"/>
  <c r="J18"/>
  <c r="AT18"/>
  <c r="I18"/>
  <c r="AL18"/>
  <c r="AM18"/>
  <c r="AN18"/>
  <c r="AO18"/>
  <c r="AP18"/>
  <c r="AQ18"/>
  <c r="AS18"/>
  <c r="AR18"/>
  <c r="K18"/>
  <c r="AJ20"/>
  <c r="AK20"/>
  <c r="AU20"/>
  <c r="J20"/>
  <c r="AL20"/>
  <c r="AM20"/>
  <c r="AN20"/>
  <c r="AO20"/>
  <c r="AP20"/>
  <c r="AQ20"/>
  <c r="AS20"/>
  <c r="AR20"/>
  <c r="K20"/>
  <c r="AJ19"/>
  <c r="AK19"/>
  <c r="AL19"/>
  <c r="AM19"/>
  <c r="AN19"/>
  <c r="AO19"/>
  <c r="AP19"/>
  <c r="AQ19"/>
  <c r="AS19"/>
  <c r="AR19"/>
  <c r="K19"/>
  <c r="H18"/>
  <c r="AT20"/>
  <c r="I20"/>
  <c r="H20"/>
  <c r="H19"/>
  <c r="AT19"/>
  <c r="I19"/>
  <c r="AU19"/>
  <c r="J19"/>
  <c r="D51" i="4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BW51"/>
  <c r="BX51"/>
  <c r="BY51"/>
  <c r="BZ51"/>
  <c r="CA51"/>
  <c r="CB51"/>
  <c r="CC51"/>
  <c r="CD51"/>
  <c r="CE51"/>
  <c r="CF51"/>
  <c r="CG51"/>
  <c r="CH51"/>
  <c r="CI51"/>
  <c r="CJ51"/>
  <c r="CK51"/>
  <c r="CL51"/>
  <c r="CM51"/>
  <c r="CN51"/>
  <c r="CO51"/>
  <c r="CP51"/>
  <c r="CQ51"/>
  <c r="CR51"/>
  <c r="CS51"/>
  <c r="CT51"/>
  <c r="CU51"/>
  <c r="CV51"/>
  <c r="CW51"/>
  <c r="CX51"/>
  <c r="CY51"/>
  <c r="CZ51"/>
  <c r="DA51"/>
  <c r="DB51"/>
  <c r="DC51"/>
  <c r="DD51"/>
  <c r="DE51"/>
  <c r="DF51"/>
  <c r="DG51"/>
  <c r="DH51"/>
  <c r="DI51"/>
  <c r="DJ51"/>
  <c r="DK51"/>
  <c r="DL51"/>
  <c r="DM51"/>
  <c r="DN51"/>
  <c r="DO51"/>
  <c r="DP51"/>
  <c r="DQ51"/>
  <c r="DR51"/>
  <c r="DS51"/>
  <c r="DT51"/>
  <c r="DU51"/>
  <c r="DV51"/>
  <c r="DW51"/>
  <c r="DX51"/>
  <c r="DY51"/>
  <c r="DZ51"/>
  <c r="EA51"/>
  <c r="EB51"/>
  <c r="EC51"/>
  <c r="ED51"/>
  <c r="EE51"/>
  <c r="EF51"/>
  <c r="EG51"/>
  <c r="EH51"/>
  <c r="EI51"/>
  <c r="EJ51"/>
  <c r="EK51"/>
  <c r="EL51"/>
  <c r="EM51"/>
  <c r="EN51"/>
  <c r="EO51"/>
  <c r="EP51"/>
  <c r="EQ51"/>
  <c r="ER51"/>
  <c r="ES51"/>
  <c r="ET51"/>
  <c r="EU51"/>
  <c r="EV51"/>
  <c r="EW51"/>
  <c r="EX51"/>
  <c r="EY51"/>
  <c r="EZ51"/>
  <c r="FA51"/>
  <c r="FB51"/>
  <c r="FC51"/>
  <c r="FD51"/>
  <c r="FE51"/>
  <c r="FF51"/>
  <c r="FG51"/>
  <c r="FH51"/>
  <c r="FI51"/>
  <c r="FJ51"/>
  <c r="FK51"/>
  <c r="FL51"/>
  <c r="FM51"/>
  <c r="FN51"/>
  <c r="FO51"/>
  <c r="FP51"/>
  <c r="FQ51"/>
  <c r="FR51"/>
  <c r="FS51"/>
  <c r="FT51"/>
  <c r="FU51"/>
  <c r="FV51"/>
  <c r="FW51"/>
  <c r="FX51"/>
  <c r="FY51"/>
  <c r="FZ51"/>
  <c r="GA51"/>
  <c r="GB51"/>
  <c r="GC51"/>
  <c r="GD51"/>
  <c r="GE51"/>
  <c r="GF51"/>
  <c r="GG51"/>
  <c r="GH51"/>
  <c r="GI51"/>
  <c r="GJ51"/>
  <c r="GK51"/>
  <c r="GL51"/>
  <c r="GM51"/>
  <c r="GN51"/>
  <c r="GO51"/>
  <c r="GP51"/>
  <c r="GQ51"/>
  <c r="GR51"/>
  <c r="GS51"/>
  <c r="GT51"/>
  <c r="GU51"/>
  <c r="GV51"/>
  <c r="GW51"/>
  <c r="GX51"/>
  <c r="GY51"/>
  <c r="GZ51"/>
  <c r="HA51"/>
  <c r="HB51"/>
  <c r="HC51"/>
  <c r="HD51"/>
  <c r="HE51"/>
  <c r="HF51"/>
  <c r="HG51"/>
  <c r="HH51"/>
  <c r="HI51"/>
  <c r="HJ51"/>
  <c r="HK51"/>
  <c r="J49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C5" i="2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O49"/>
  <c r="N49"/>
  <c r="M49"/>
  <c r="L49"/>
  <c r="K49"/>
  <c r="I49"/>
  <c r="G49"/>
  <c r="E49"/>
  <c r="O48"/>
  <c r="N48"/>
  <c r="M48"/>
  <c r="L48"/>
  <c r="K48"/>
  <c r="I48"/>
  <c r="G48"/>
  <c r="E48"/>
  <c r="O47"/>
  <c r="N47"/>
  <c r="M47"/>
  <c r="L47"/>
  <c r="K47"/>
  <c r="I47"/>
  <c r="G47"/>
  <c r="E47"/>
  <c r="O46"/>
  <c r="N46"/>
  <c r="M46"/>
  <c r="L46"/>
  <c r="K46"/>
  <c r="I46"/>
  <c r="G46"/>
  <c r="E46"/>
  <c r="O45"/>
  <c r="N45"/>
  <c r="M45"/>
  <c r="L45"/>
  <c r="K45"/>
  <c r="I45"/>
  <c r="G45"/>
  <c r="E45"/>
  <c r="O44"/>
  <c r="N44"/>
  <c r="M44"/>
  <c r="L44"/>
  <c r="K44"/>
  <c r="I44"/>
  <c r="G44"/>
  <c r="E44"/>
  <c r="O43"/>
  <c r="N43"/>
  <c r="M43"/>
  <c r="L43"/>
  <c r="K43"/>
  <c r="I43"/>
  <c r="G43"/>
  <c r="E43"/>
  <c r="O42"/>
  <c r="N42"/>
  <c r="M42"/>
  <c r="L42"/>
  <c r="K42"/>
  <c r="I42"/>
  <c r="G42"/>
  <c r="E42"/>
  <c r="N41"/>
  <c r="M41"/>
  <c r="L41"/>
  <c r="K41"/>
  <c r="I41"/>
  <c r="N40"/>
  <c r="M40"/>
  <c r="L40"/>
  <c r="K40"/>
  <c r="I40"/>
  <c r="N39"/>
  <c r="M39"/>
  <c r="L39"/>
  <c r="K39"/>
  <c r="I39"/>
  <c r="N38"/>
  <c r="M38"/>
  <c r="L38"/>
  <c r="I38"/>
  <c r="N37"/>
  <c r="M37"/>
  <c r="L37"/>
  <c r="I37"/>
  <c r="N36"/>
  <c r="M36"/>
  <c r="L36"/>
  <c r="I36"/>
  <c r="N35"/>
  <c r="M35"/>
  <c r="L35"/>
  <c r="I35"/>
  <c r="N34"/>
  <c r="M34"/>
  <c r="I34"/>
  <c r="G34"/>
  <c r="E34"/>
  <c r="N33"/>
  <c r="M33"/>
  <c r="I33"/>
  <c r="G33"/>
  <c r="E33"/>
  <c r="N32"/>
  <c r="M32"/>
  <c r="I32"/>
  <c r="G32"/>
  <c r="E32"/>
  <c r="N31"/>
  <c r="M31"/>
  <c r="I31"/>
  <c r="G31"/>
  <c r="E31"/>
  <c r="N30"/>
  <c r="M30"/>
  <c r="I30"/>
  <c r="G30"/>
  <c r="E30"/>
  <c r="N29"/>
  <c r="M29"/>
  <c r="K29"/>
  <c r="I29"/>
  <c r="E29"/>
  <c r="N28"/>
  <c r="M28"/>
  <c r="K28"/>
  <c r="I28"/>
  <c r="E28"/>
  <c r="N27"/>
  <c r="M27"/>
  <c r="K27"/>
  <c r="I27"/>
  <c r="E27"/>
  <c r="N26"/>
  <c r="M26"/>
  <c r="K26"/>
  <c r="I26"/>
  <c r="E26"/>
  <c r="N25"/>
  <c r="M25"/>
  <c r="K25"/>
  <c r="I25"/>
  <c r="E25"/>
  <c r="N24"/>
  <c r="M24"/>
  <c r="L24"/>
  <c r="K24"/>
  <c r="I24"/>
  <c r="N23"/>
  <c r="M23"/>
  <c r="L23"/>
  <c r="K23"/>
  <c r="I23"/>
  <c r="N22"/>
  <c r="M22"/>
  <c r="L22"/>
  <c r="I22"/>
  <c r="N21"/>
  <c r="M21"/>
  <c r="L21"/>
  <c r="I21"/>
  <c r="N20"/>
  <c r="M20"/>
  <c r="L20"/>
  <c r="I20"/>
  <c r="N19"/>
  <c r="M19"/>
  <c r="L19"/>
  <c r="I19"/>
  <c r="N18"/>
  <c r="M18"/>
  <c r="L18"/>
  <c r="I18"/>
  <c r="N17"/>
  <c r="M17"/>
  <c r="L17"/>
  <c r="I17"/>
  <c r="N16"/>
  <c r="M16"/>
  <c r="L16"/>
  <c r="I16"/>
  <c r="N15"/>
  <c r="M15"/>
  <c r="L15"/>
  <c r="I15"/>
  <c r="N14"/>
  <c r="M14"/>
  <c r="L14"/>
  <c r="I14"/>
  <c r="N13"/>
  <c r="M13"/>
  <c r="L13"/>
  <c r="I13"/>
  <c r="N12"/>
  <c r="M12"/>
  <c r="L12"/>
  <c r="I12"/>
  <c r="N11"/>
  <c r="M11"/>
  <c r="L11"/>
  <c r="I11"/>
  <c r="N10"/>
  <c r="M10"/>
  <c r="L10"/>
  <c r="I10"/>
  <c r="N9"/>
  <c r="M9"/>
  <c r="L9"/>
  <c r="I9"/>
  <c r="N8"/>
  <c r="M8"/>
  <c r="L8"/>
  <c r="I8"/>
  <c r="N7"/>
  <c r="M7"/>
  <c r="L7"/>
  <c r="I7"/>
  <c r="N6"/>
  <c r="M6"/>
  <c r="L6"/>
  <c r="I6"/>
  <c r="N5"/>
  <c r="M5"/>
  <c r="L5"/>
  <c r="I5"/>
  <c r="N4"/>
  <c r="M4"/>
  <c r="L4"/>
  <c r="I4"/>
  <c r="Q1"/>
  <c r="Q46"/>
  <c r="P1"/>
  <c r="P40"/>
  <c r="O1"/>
  <c r="O41"/>
  <c r="N1"/>
  <c r="M1"/>
  <c r="L1"/>
  <c r="L33"/>
  <c r="K1"/>
  <c r="K38"/>
  <c r="J1"/>
  <c r="J40"/>
  <c r="I1"/>
  <c r="H1"/>
  <c r="G1"/>
  <c r="G41"/>
  <c r="F1"/>
  <c r="E1"/>
  <c r="L26"/>
  <c r="L28"/>
  <c r="L30"/>
  <c r="L32"/>
  <c r="L34"/>
  <c r="F41"/>
  <c r="F49"/>
  <c r="F48"/>
  <c r="F47"/>
  <c r="F46"/>
  <c r="F45"/>
  <c r="F44"/>
  <c r="F43"/>
  <c r="F42"/>
  <c r="L25"/>
  <c r="L27"/>
  <c r="L29"/>
  <c r="L31"/>
  <c r="H41"/>
  <c r="H48"/>
  <c r="H46"/>
  <c r="H44"/>
  <c r="H42"/>
  <c r="H49"/>
  <c r="H47"/>
  <c r="H45"/>
  <c r="H43"/>
  <c r="E41"/>
  <c r="F4"/>
  <c r="H4"/>
  <c r="J4"/>
  <c r="P4"/>
  <c r="E5"/>
  <c r="G5"/>
  <c r="K5"/>
  <c r="O5"/>
  <c r="F6"/>
  <c r="H6"/>
  <c r="J6"/>
  <c r="P6"/>
  <c r="E7"/>
  <c r="G7"/>
  <c r="K7"/>
  <c r="O7"/>
  <c r="F8"/>
  <c r="H8"/>
  <c r="J8"/>
  <c r="P8"/>
  <c r="E9"/>
  <c r="G9"/>
  <c r="K9"/>
  <c r="O9"/>
  <c r="F10"/>
  <c r="H10"/>
  <c r="J10"/>
  <c r="P10"/>
  <c r="E11"/>
  <c r="G11"/>
  <c r="K11"/>
  <c r="O11"/>
  <c r="F12"/>
  <c r="H12"/>
  <c r="J12"/>
  <c r="P12"/>
  <c r="E13"/>
  <c r="G13"/>
  <c r="K13"/>
  <c r="O13"/>
  <c r="F14"/>
  <c r="H14"/>
  <c r="J14"/>
  <c r="P14"/>
  <c r="E15"/>
  <c r="G15"/>
  <c r="K15"/>
  <c r="O15"/>
  <c r="F16"/>
  <c r="H16"/>
  <c r="J16"/>
  <c r="P16"/>
  <c r="F17"/>
  <c r="H17"/>
  <c r="J17"/>
  <c r="P17"/>
  <c r="E18"/>
  <c r="G18"/>
  <c r="K18"/>
  <c r="O18"/>
  <c r="F19"/>
  <c r="H19"/>
  <c r="J19"/>
  <c r="P19"/>
  <c r="E20"/>
  <c r="G20"/>
  <c r="K20"/>
  <c r="O20"/>
  <c r="F21"/>
  <c r="H21"/>
  <c r="J21"/>
  <c r="P21"/>
  <c r="E22"/>
  <c r="G22"/>
  <c r="K22"/>
  <c r="O22"/>
  <c r="F23"/>
  <c r="H23"/>
  <c r="J23"/>
  <c r="P23"/>
  <c r="E24"/>
  <c r="G24"/>
  <c r="O24"/>
  <c r="F25"/>
  <c r="H25"/>
  <c r="J25"/>
  <c r="P25"/>
  <c r="G26"/>
  <c r="O26"/>
  <c r="F27"/>
  <c r="H27"/>
  <c r="J27"/>
  <c r="P27"/>
  <c r="G28"/>
  <c r="O28"/>
  <c r="F29"/>
  <c r="H29"/>
  <c r="J29"/>
  <c r="P29"/>
  <c r="K30"/>
  <c r="O30"/>
  <c r="F31"/>
  <c r="H31"/>
  <c r="J31"/>
  <c r="P31"/>
  <c r="K32"/>
  <c r="O32"/>
  <c r="F33"/>
  <c r="H33"/>
  <c r="J33"/>
  <c r="P33"/>
  <c r="K34"/>
  <c r="O34"/>
  <c r="Q34"/>
  <c r="E35"/>
  <c r="G35"/>
  <c r="K35"/>
  <c r="O35"/>
  <c r="F36"/>
  <c r="H36"/>
  <c r="J36"/>
  <c r="P36"/>
  <c r="E37"/>
  <c r="G37"/>
  <c r="K37"/>
  <c r="O37"/>
  <c r="F38"/>
  <c r="H38"/>
  <c r="J38"/>
  <c r="P38"/>
  <c r="E39"/>
  <c r="G39"/>
  <c r="O39"/>
  <c r="F40"/>
  <c r="H40"/>
  <c r="J48"/>
  <c r="J45"/>
  <c r="J43"/>
  <c r="J49"/>
  <c r="J47"/>
  <c r="J46"/>
  <c r="J44"/>
  <c r="J42"/>
  <c r="J41"/>
  <c r="P48"/>
  <c r="P45"/>
  <c r="P43"/>
  <c r="P49"/>
  <c r="P47"/>
  <c r="P46"/>
  <c r="P44"/>
  <c r="P42"/>
  <c r="P41"/>
  <c r="E4"/>
  <c r="G4"/>
  <c r="K4"/>
  <c r="O4"/>
  <c r="F5"/>
  <c r="H5"/>
  <c r="J5"/>
  <c r="P5"/>
  <c r="E6"/>
  <c r="G6"/>
  <c r="K6"/>
  <c r="O6"/>
  <c r="F7"/>
  <c r="H7"/>
  <c r="J7"/>
  <c r="P7"/>
  <c r="E8"/>
  <c r="G8"/>
  <c r="K8"/>
  <c r="O8"/>
  <c r="F9"/>
  <c r="H9"/>
  <c r="J9"/>
  <c r="P9"/>
  <c r="E10"/>
  <c r="G10"/>
  <c r="K10"/>
  <c r="O10"/>
  <c r="F11"/>
  <c r="H11"/>
  <c r="J11"/>
  <c r="P11"/>
  <c r="E12"/>
  <c r="G12"/>
  <c r="K12"/>
  <c r="O12"/>
  <c r="F13"/>
  <c r="H13"/>
  <c r="J13"/>
  <c r="P13"/>
  <c r="E14"/>
  <c r="G14"/>
  <c r="K14"/>
  <c r="O14"/>
  <c r="F15"/>
  <c r="H15"/>
  <c r="J15"/>
  <c r="P15"/>
  <c r="E16"/>
  <c r="G16"/>
  <c r="K16"/>
  <c r="O16"/>
  <c r="Q16"/>
  <c r="E17"/>
  <c r="G17"/>
  <c r="K17"/>
  <c r="O17"/>
  <c r="F18"/>
  <c r="H18"/>
  <c r="J18"/>
  <c r="P18"/>
  <c r="E19"/>
  <c r="G19"/>
  <c r="K19"/>
  <c r="O19"/>
  <c r="F20"/>
  <c r="H20"/>
  <c r="J20"/>
  <c r="P20"/>
  <c r="E21"/>
  <c r="G21"/>
  <c r="K21"/>
  <c r="O21"/>
  <c r="F22"/>
  <c r="H22"/>
  <c r="J22"/>
  <c r="P22"/>
  <c r="E23"/>
  <c r="G23"/>
  <c r="O23"/>
  <c r="F24"/>
  <c r="H24"/>
  <c r="J24"/>
  <c r="P24"/>
  <c r="G25"/>
  <c r="O25"/>
  <c r="F26"/>
  <c r="H26"/>
  <c r="J26"/>
  <c r="P26"/>
  <c r="G27"/>
  <c r="O27"/>
  <c r="F28"/>
  <c r="H28"/>
  <c r="J28"/>
  <c r="P28"/>
  <c r="G29"/>
  <c r="O29"/>
  <c r="F30"/>
  <c r="H30"/>
  <c r="J30"/>
  <c r="P30"/>
  <c r="K31"/>
  <c r="O31"/>
  <c r="F32"/>
  <c r="H32"/>
  <c r="J32"/>
  <c r="P32"/>
  <c r="K33"/>
  <c r="O33"/>
  <c r="F34"/>
  <c r="H34"/>
  <c r="J34"/>
  <c r="P34"/>
  <c r="F35"/>
  <c r="H35"/>
  <c r="J35"/>
  <c r="P35"/>
  <c r="E36"/>
  <c r="G36"/>
  <c r="K36"/>
  <c r="O36"/>
  <c r="F37"/>
  <c r="H37"/>
  <c r="J37"/>
  <c r="P37"/>
  <c r="E38"/>
  <c r="G38"/>
  <c r="O38"/>
  <c r="F39"/>
  <c r="H39"/>
  <c r="J39"/>
  <c r="P39"/>
  <c r="E40"/>
  <c r="G40"/>
  <c r="O40"/>
  <c r="Q32"/>
  <c r="R34"/>
  <c r="R32"/>
  <c r="R16"/>
  <c r="R46"/>
  <c r="Q6"/>
  <c r="R6"/>
  <c r="Q8"/>
  <c r="R8"/>
  <c r="Q10"/>
  <c r="R10"/>
  <c r="Q12"/>
  <c r="R12"/>
  <c r="Q14"/>
  <c r="R14"/>
  <c r="Q18"/>
  <c r="R18"/>
  <c r="Q20"/>
  <c r="R20"/>
  <c r="Q22"/>
  <c r="R22"/>
  <c r="Q24"/>
  <c r="R24"/>
  <c r="Q26"/>
  <c r="R26"/>
  <c r="Q28"/>
  <c r="R28"/>
  <c r="Q30"/>
  <c r="R30"/>
  <c r="Q33"/>
  <c r="R33"/>
  <c r="Q35"/>
  <c r="R35"/>
  <c r="Q37"/>
  <c r="R37"/>
  <c r="Q4"/>
  <c r="R4"/>
  <c r="Q5"/>
  <c r="R5"/>
  <c r="Q7"/>
  <c r="R7"/>
  <c r="Q9"/>
  <c r="R9"/>
  <c r="Q11"/>
  <c r="R11"/>
  <c r="Q13"/>
  <c r="R13"/>
  <c r="Q15"/>
  <c r="R15"/>
  <c r="Q17"/>
  <c r="R17"/>
  <c r="Q19"/>
  <c r="R19"/>
  <c r="Q21"/>
  <c r="R21"/>
  <c r="Q23"/>
  <c r="R23"/>
  <c r="Q25"/>
  <c r="R25"/>
  <c r="Q27"/>
  <c r="R27"/>
  <c r="Q29"/>
  <c r="R29"/>
  <c r="Q31"/>
  <c r="R31"/>
  <c r="Q36"/>
  <c r="R36"/>
  <c r="Q38"/>
  <c r="R38"/>
  <c r="Q41"/>
  <c r="R41"/>
  <c r="Q39"/>
  <c r="R39"/>
  <c r="Q40"/>
  <c r="R40"/>
  <c r="Q42"/>
  <c r="R42"/>
  <c r="Q43"/>
  <c r="R43"/>
  <c r="Q44"/>
  <c r="R44"/>
  <c r="Q48"/>
  <c r="R48"/>
  <c r="Q45"/>
  <c r="R45"/>
  <c r="Q47"/>
  <c r="R47"/>
  <c r="Q49"/>
  <c r="R49"/>
  <c r="S49"/>
  <c r="S22"/>
  <c r="S12"/>
  <c r="S31"/>
  <c r="S23"/>
  <c r="S30"/>
  <c r="S26"/>
  <c r="S27"/>
  <c r="S45"/>
  <c r="S13"/>
  <c r="S40"/>
  <c r="S18"/>
  <c r="S14"/>
  <c r="S5"/>
  <c r="S39"/>
  <c r="S25"/>
  <c r="S7"/>
  <c r="S29"/>
  <c r="S19"/>
  <c r="S41"/>
  <c r="S20"/>
  <c r="S17"/>
  <c r="S38"/>
  <c r="S21"/>
  <c r="S4"/>
  <c r="T4"/>
  <c r="S46"/>
  <c r="S48"/>
  <c r="S33"/>
  <c r="S15"/>
  <c r="S35"/>
  <c r="S32"/>
  <c r="S42"/>
  <c r="S8"/>
  <c r="S34"/>
  <c r="S9"/>
  <c r="S43"/>
  <c r="S10"/>
  <c r="S6"/>
  <c r="S11"/>
  <c r="S24"/>
  <c r="S28"/>
  <c r="S36"/>
  <c r="S16"/>
  <c r="S37"/>
  <c r="S44"/>
  <c r="S47"/>
  <c r="T16"/>
  <c r="T11"/>
  <c r="T47"/>
  <c r="T37"/>
  <c r="T36"/>
  <c r="T44"/>
  <c r="T28"/>
  <c r="T9"/>
  <c r="T8"/>
  <c r="T32"/>
  <c r="T15"/>
  <c r="T48"/>
  <c r="T38"/>
  <c r="T20"/>
  <c r="T19"/>
  <c r="T7"/>
  <c r="T39"/>
  <c r="T14"/>
  <c r="T40"/>
  <c r="T45"/>
  <c r="T26"/>
  <c r="T23"/>
  <c r="T12"/>
  <c r="T49"/>
  <c r="T10"/>
  <c r="T6"/>
  <c r="T24"/>
  <c r="T43"/>
  <c r="T34"/>
  <c r="T42"/>
  <c r="T35"/>
  <c r="T33"/>
  <c r="T46"/>
  <c r="T21"/>
  <c r="T17"/>
  <c r="T41"/>
  <c r="T29"/>
  <c r="T25"/>
  <c r="T5"/>
  <c r="T18"/>
  <c r="T13"/>
  <c r="T27"/>
  <c r="T30"/>
  <c r="T31"/>
  <c r="T22"/>
</calcChain>
</file>

<file path=xl/comments1.xml><?xml version="1.0" encoding="utf-8"?>
<comments xmlns="http://schemas.openxmlformats.org/spreadsheetml/2006/main">
  <authors>
    <author>Megan Moen</author>
    <author>Morgan</author>
  </authors>
  <commentList>
    <comment ref="H2" authorId="0">
      <text>
        <r>
          <rPr>
            <b/>
            <sz val="9"/>
            <color indexed="81"/>
            <rFont val="Tahoma"/>
          </rPr>
          <t>Megan Moen:</t>
        </r>
        <r>
          <rPr>
            <sz val="9"/>
            <color indexed="81"/>
            <rFont val="Tahoma"/>
          </rPr>
          <t xml:space="preserve">
Can make numeric and give HUGE weight, if need to incorporate into a score
</t>
        </r>
      </text>
    </comment>
    <comment ref="Y2" authorId="1">
      <text>
        <r>
          <rPr>
            <b/>
            <sz val="9"/>
            <color indexed="81"/>
            <rFont val="Tahoma"/>
          </rPr>
          <t>Morgan:</t>
        </r>
        <r>
          <rPr>
            <sz val="9"/>
            <color indexed="81"/>
            <rFont val="Tahoma"/>
          </rPr>
          <t xml:space="preserve">
Don't remove</t>
        </r>
      </text>
    </comment>
    <comment ref="AG2" authorId="1">
      <text>
        <r>
          <rPr>
            <b/>
            <sz val="9"/>
            <color indexed="81"/>
            <rFont val="Tahoma"/>
          </rPr>
          <t>Morgan:</t>
        </r>
        <r>
          <rPr>
            <sz val="9"/>
            <color indexed="81"/>
            <rFont val="Tahoma"/>
          </rPr>
          <t xml:space="preserve">
Don't remove</t>
        </r>
      </text>
    </comment>
    <comment ref="AO2" authorId="1">
      <text>
        <r>
          <rPr>
            <b/>
            <sz val="9"/>
            <color indexed="81"/>
            <rFont val="Tahoma"/>
          </rPr>
          <t>Morgan:</t>
        </r>
        <r>
          <rPr>
            <sz val="9"/>
            <color indexed="81"/>
            <rFont val="Tahoma"/>
          </rPr>
          <t xml:space="preserve">
Don't remove</t>
        </r>
      </text>
    </comment>
    <comment ref="U3" authorId="0">
      <text>
        <r>
          <rPr>
            <b/>
            <sz val="9"/>
            <color indexed="81"/>
            <rFont val="Tahoma"/>
          </rPr>
          <t>Megan Moen:</t>
        </r>
        <r>
          <rPr>
            <sz val="9"/>
            <color indexed="81"/>
            <rFont val="Tahoma"/>
          </rPr>
          <t xml:space="preserve">
Rank within each neighborhood
</t>
        </r>
      </text>
    </comment>
    <comment ref="U91" authorId="0">
      <text>
        <r>
          <rPr>
            <b/>
            <sz val="9"/>
            <color indexed="81"/>
            <rFont val="Tahoma"/>
          </rPr>
          <t>Megan Moen:</t>
        </r>
        <r>
          <rPr>
            <sz val="9"/>
            <color indexed="81"/>
            <rFont val="Tahoma"/>
          </rPr>
          <t xml:space="preserve">
finish splitting up by neighborhood, or find better way</t>
        </r>
      </text>
    </comment>
  </commentList>
</comments>
</file>

<file path=xl/comments2.xml><?xml version="1.0" encoding="utf-8"?>
<comments xmlns="http://schemas.openxmlformats.org/spreadsheetml/2006/main">
  <authors>
    <author>Megan Moen</author>
  </authors>
  <commentList>
    <comment ref="B2" authorId="0">
      <text>
        <r>
          <rPr>
            <b/>
            <sz val="9"/>
            <color indexed="81"/>
            <rFont val="Tahoma"/>
          </rPr>
          <t>Megan Moen:</t>
        </r>
        <r>
          <rPr>
            <sz val="9"/>
            <color indexed="81"/>
            <rFont val="Tahoma"/>
          </rPr>
          <t xml:space="preserve">
We can hide these rows after your review, so it looks cleaner</t>
        </r>
      </text>
    </comment>
  </commentList>
</comments>
</file>

<file path=xl/sharedStrings.xml><?xml version="1.0" encoding="utf-8"?>
<sst xmlns="http://schemas.openxmlformats.org/spreadsheetml/2006/main" count="1639" uniqueCount="237">
  <si>
    <t>Turtle Bay</t>
  </si>
  <si>
    <t>Murray Hill</t>
  </si>
  <si>
    <t>Kips Bay</t>
  </si>
  <si>
    <t>Soho</t>
  </si>
  <si>
    <t>West Village</t>
  </si>
  <si>
    <t>Noho</t>
  </si>
  <si>
    <t>East Village</t>
  </si>
  <si>
    <t>Tribeca</t>
  </si>
  <si>
    <t>Two Bridges</t>
  </si>
  <si>
    <t>Lower East Side</t>
  </si>
  <si>
    <t>Little Italy</t>
  </si>
  <si>
    <t>Chinatown</t>
  </si>
  <si>
    <t>Civic Center</t>
  </si>
  <si>
    <t xml:space="preserve">Supermarket </t>
  </si>
  <si>
    <t>Fitness</t>
  </si>
  <si>
    <t>Nightlife</t>
  </si>
  <si>
    <t xml:space="preserve">Transportation </t>
  </si>
  <si>
    <t>Noise/crowds</t>
  </si>
  <si>
    <t xml:space="preserve">Parks </t>
  </si>
  <si>
    <t xml:space="preserve">Commute </t>
  </si>
  <si>
    <t>Total Score</t>
  </si>
  <si>
    <t>Characteristics Matching User's Preferences</t>
  </si>
  <si>
    <t>Trader Joes</t>
  </si>
  <si>
    <t>Whole Foods</t>
  </si>
  <si>
    <t>Food Emporium</t>
  </si>
  <si>
    <t>Farmer's Market</t>
  </si>
  <si>
    <t>Bodega</t>
  </si>
  <si>
    <t>Full Service Gym</t>
  </si>
  <si>
    <t>Running Trails</t>
  </si>
  <si>
    <t>Bike Path</t>
  </si>
  <si>
    <t xml:space="preserve">Specialty </t>
  </si>
  <si>
    <t>No gym</t>
  </si>
  <si>
    <t xml:space="preserve">Fitness </t>
  </si>
  <si>
    <t>Supermarket</t>
  </si>
  <si>
    <t>Don't care</t>
  </si>
  <si>
    <t>Banana/J Crew</t>
  </si>
  <si>
    <t>Five Star</t>
  </si>
  <si>
    <t>Ethnic</t>
  </si>
  <si>
    <t>Fast Food</t>
  </si>
  <si>
    <t>Lounge</t>
  </si>
  <si>
    <t>SportsBar</t>
  </si>
  <si>
    <t>Dive</t>
  </si>
  <si>
    <t>Theater</t>
  </si>
  <si>
    <t>Music</t>
  </si>
  <si>
    <t>Movies</t>
  </si>
  <si>
    <t>Transportation</t>
  </si>
  <si>
    <t>Hospital</t>
  </si>
  <si>
    <t>Parks</t>
  </si>
  <si>
    <t>Inputs:</t>
  </si>
  <si>
    <t>Weight of Exact Match</t>
  </si>
  <si>
    <t>Weight of Nearby Match</t>
  </si>
  <si>
    <t>Weight of Second Choice</t>
  </si>
  <si>
    <t>Rank</t>
  </si>
  <si>
    <t>Battery Park City</t>
  </si>
  <si>
    <t>Flatiron</t>
  </si>
  <si>
    <t>Fulton/Seaport</t>
  </si>
  <si>
    <t>Gramercy Park</t>
  </si>
  <si>
    <t>Greenwich Village</t>
  </si>
  <si>
    <t>Nolita</t>
  </si>
  <si>
    <t>Stuyvesant Town</t>
  </si>
  <si>
    <t>Central Park South</t>
  </si>
  <si>
    <t>Sutton Place</t>
  </si>
  <si>
    <t>Fashion Square</t>
  </si>
  <si>
    <t>Herald Square</t>
  </si>
  <si>
    <t>Times Square</t>
  </si>
  <si>
    <t>Carnegie Hill</t>
  </si>
  <si>
    <t>Upper East Side</t>
  </si>
  <si>
    <t>Manhattan Valley</t>
  </si>
  <si>
    <t>Upper West Side</t>
  </si>
  <si>
    <t>Central Harlem</t>
  </si>
  <si>
    <t>Manhattanville</t>
  </si>
  <si>
    <t>West Harlem</t>
  </si>
  <si>
    <t>Department Store</t>
  </si>
  <si>
    <t>Gucci/Chanel</t>
  </si>
  <si>
    <t>Hospitals: Wikipedia</t>
  </si>
  <si>
    <t xml:space="preserve">Noise: </t>
  </si>
  <si>
    <t>Safety: NYTimes 2003-2009 Homicide report, http://projects.nytimes.com/crime/homicides/map</t>
  </si>
  <si>
    <t>High</t>
  </si>
  <si>
    <t>Financial District</t>
  </si>
  <si>
    <t>Noise</t>
  </si>
  <si>
    <t>Expected Annual Income</t>
  </si>
  <si>
    <t>Bedrooms</t>
  </si>
  <si>
    <t>Bathrooms</t>
  </si>
  <si>
    <t>Laundry</t>
  </si>
  <si>
    <t>Elevator</t>
  </si>
  <si>
    <t>Doorman</t>
  </si>
  <si>
    <t>Parking Available</t>
  </si>
  <si>
    <t>Terrace/Roofdeck</t>
  </si>
  <si>
    <t>Pets</t>
  </si>
  <si>
    <t>Studio</t>
  </si>
  <si>
    <t>Yes</t>
  </si>
  <si>
    <t>No</t>
  </si>
  <si>
    <t>Neighborhood</t>
  </si>
  <si>
    <t>Price</t>
  </si>
  <si>
    <t>Maximum Rent</t>
  </si>
  <si>
    <t>Minimum Rent</t>
  </si>
  <si>
    <t>Terrace/ Roofdeck</t>
  </si>
  <si>
    <t>Order</t>
  </si>
  <si>
    <t>Neighborhood &amp; Rank</t>
  </si>
  <si>
    <t>REMOVED TIMES SQUARE, HERALD SQUARE AND MANHATTANVILLE</t>
  </si>
  <si>
    <t>Key:</t>
  </si>
  <si>
    <t>1) 10 minutes walk, one subway stop</t>
  </si>
  <si>
    <t>2) 20 minutes walk, 2 or 3 subway stops</t>
  </si>
  <si>
    <t>4) Really far away</t>
  </si>
  <si>
    <t>Morgan</t>
  </si>
  <si>
    <t>Megan</t>
  </si>
  <si>
    <t>Erika</t>
  </si>
  <si>
    <t>FROM</t>
  </si>
  <si>
    <t>Fulton/ Seaport</t>
  </si>
  <si>
    <t>TO</t>
  </si>
  <si>
    <t>3) 30 to 40 minutes (must cross town, switch subways, etc)</t>
  </si>
  <si>
    <t>Same Neighborhood</t>
  </si>
  <si>
    <t>Weights</t>
  </si>
  <si>
    <t>Squarefoot</t>
  </si>
  <si>
    <t>Name1</t>
  </si>
  <si>
    <t>Name2</t>
  </si>
  <si>
    <t>Price (Max &amp; Min)</t>
  </si>
  <si>
    <t># of Listings</t>
  </si>
  <si>
    <t>Name3</t>
  </si>
  <si>
    <t>Preferred Neighborhood?</t>
  </si>
  <si>
    <t>Equals recommended rent</t>
  </si>
  <si>
    <t>If perfect match</t>
  </si>
  <si>
    <t>Preferences</t>
  </si>
  <si>
    <t>NEIGHBORHOOD ONE</t>
  </si>
  <si>
    <t>Count</t>
  </si>
  <si>
    <t>Rank1</t>
  </si>
  <si>
    <t>Rank2</t>
  </si>
  <si>
    <t>Rank3</t>
  </si>
  <si>
    <t>Name4</t>
  </si>
  <si>
    <t>NEIGHBORHOOD TWO</t>
  </si>
  <si>
    <t>NEIGHBORHOOD THREE</t>
  </si>
  <si>
    <t>Which supermarket would you prefer?</t>
  </si>
  <si>
    <t>How do you work out?</t>
  </si>
  <si>
    <t>Where do you like to shop?</t>
  </si>
  <si>
    <t>What types of restaurants do you like?</t>
  </si>
  <si>
    <t>What types of bars do you like?</t>
  </si>
  <si>
    <t>Supermarket (Trader Joe’s, Whole Foods, Food Emporium, Mom &amp; Pop’s/Bodega, Farmer’s Market)</t>
  </si>
  <si>
    <t>Shopping</t>
  </si>
  <si>
    <t>Restaurants</t>
  </si>
  <si>
    <t>Bars</t>
  </si>
  <si>
    <t>Nightlife (theater, music venues, parks)</t>
  </si>
  <si>
    <t>Style</t>
  </si>
  <si>
    <t>Safety</t>
  </si>
  <si>
    <t>Hospitals</t>
  </si>
  <si>
    <t>Parks (how often you visit/think you will visit)</t>
  </si>
  <si>
    <t>Minimize commute distance (handled by an embedded transportation model)</t>
  </si>
  <si>
    <t>Neighborhoods</t>
  </si>
  <si>
    <t>Inwood</t>
  </si>
  <si>
    <t>Washington Heights</t>
  </si>
  <si>
    <t>Hamilton Heights</t>
  </si>
  <si>
    <t>Morningside Heights</t>
  </si>
  <si>
    <t>East Harlem</t>
  </si>
  <si>
    <t>Yorkville</t>
  </si>
  <si>
    <t>Lenox Hill</t>
  </si>
  <si>
    <t>Lincoln Square</t>
  </si>
  <si>
    <t>Clinton</t>
  </si>
  <si>
    <t>Chelsea</t>
  </si>
  <si>
    <t>Theatre District</t>
  </si>
  <si>
    <t>Midtown</t>
  </si>
  <si>
    <t>Midtown South</t>
  </si>
  <si>
    <t>What do you like to do on nights off?</t>
  </si>
  <si>
    <t>What do you think your style is?</t>
  </si>
  <si>
    <t>How do you leave town?</t>
  </si>
  <si>
    <t>Is safety important to you?</t>
  </si>
  <si>
    <t>What is your noise tolerance level?</t>
  </si>
  <si>
    <t>Do you need to be close to medical care?</t>
  </si>
  <si>
    <t>How often do you visit a park?</t>
  </si>
  <si>
    <t>What neighborhood do you work in?</t>
  </si>
  <si>
    <t>How many times per week do you travel there?</t>
  </si>
  <si>
    <t>What neighborhood do you hang out in most?</t>
  </si>
  <si>
    <t>Which three preferences are most important?</t>
  </si>
  <si>
    <t>What is your salary (base)?</t>
  </si>
  <si>
    <t>What is your expected bonus?</t>
  </si>
  <si>
    <t>Maximum?</t>
  </si>
  <si>
    <t>Minimum?</t>
  </si>
  <si>
    <t>Selected Neighborhoods and Apartment Listings</t>
  </si>
  <si>
    <t>Based on preferences and…</t>
  </si>
  <si>
    <t>What percentage of your gross salary goes to rent?</t>
  </si>
  <si>
    <t>Neighborhood One:</t>
  </si>
  <si>
    <t>Neighborhood Two:</t>
  </si>
  <si>
    <t>Neighborhood Three:</t>
  </si>
  <si>
    <t>Listing Numner</t>
  </si>
  <si>
    <t>Listing Number</t>
  </si>
  <si>
    <t>Listing Description</t>
  </si>
  <si>
    <t>Expected Annual Income:</t>
  </si>
  <si>
    <t>Recommended Monthly Rent:</t>
  </si>
  <si>
    <t>DO NOT CHANGE</t>
  </si>
  <si>
    <t>1. Personal Preferences</t>
  </si>
  <si>
    <t>2. Financial Inputs</t>
  </si>
  <si>
    <t>3. Unit Characteristics</t>
  </si>
  <si>
    <t>Neighborhood and Apartment Listing Questionnaire</t>
  </si>
  <si>
    <t>SqFt</t>
  </si>
  <si>
    <t>Listing</t>
  </si>
  <si>
    <t>Estimating Expected Annual Income (Base Salary + Bonus)</t>
  </si>
  <si>
    <t>Base Salary</t>
  </si>
  <si>
    <t>BONUS</t>
  </si>
  <si>
    <t>Expected</t>
  </si>
  <si>
    <t>Minimum</t>
  </si>
  <si>
    <t>Maximum</t>
  </si>
  <si>
    <t>Mean</t>
  </si>
  <si>
    <t>StDev</t>
  </si>
  <si>
    <t>Alpha</t>
  </si>
  <si>
    <t>Beta</t>
  </si>
  <si>
    <t>Actual Bonus</t>
  </si>
  <si>
    <t>IFERROR(IF(VLOOKUP($AA4,$B$4:$H$153,7,0)="N",100000,VLOOKUP($AA4,$B$4:$U$153,20,0)),100000)</t>
  </si>
  <si>
    <t>American Apparel/ Urban Outfitters</t>
  </si>
  <si>
    <t>$$ - $$$</t>
  </si>
  <si>
    <t>Bottle Service</t>
  </si>
  <si>
    <t>Dance Club</t>
  </si>
  <si>
    <t>Entertainment</t>
  </si>
  <si>
    <t>Hipster</t>
  </si>
  <si>
    <t>NY Chic</t>
  </si>
  <si>
    <t>Yuppie</t>
  </si>
  <si>
    <t>Sporty/Outdoors</t>
  </si>
  <si>
    <t>Do not identify</t>
  </si>
  <si>
    <t>Travel Oustide the City</t>
  </si>
  <si>
    <t>Penn Station</t>
  </si>
  <si>
    <t>Grand Central</t>
  </si>
  <si>
    <t>Path</t>
  </si>
  <si>
    <t>Access to Airports</t>
  </si>
  <si>
    <t>Important</t>
  </si>
  <si>
    <t>Somewhat Important</t>
  </si>
  <si>
    <t>Noise Tolerance</t>
  </si>
  <si>
    <t>Medium</t>
  </si>
  <si>
    <t>Low</t>
  </si>
  <si>
    <t>Once a day</t>
  </si>
  <si>
    <t>Once a week</t>
  </si>
  <si>
    <t>Once a month</t>
  </si>
  <si>
    <t>Only when +80</t>
  </si>
  <si>
    <t>Column Number</t>
  </si>
  <si>
    <t>#</t>
  </si>
  <si>
    <t>Offset Row</t>
  </si>
  <si>
    <t># Rows High</t>
  </si>
  <si>
    <t>Neighborhood Offset Data</t>
  </si>
  <si>
    <t>Points (base)</t>
  </si>
  <si>
    <t>Parks: NYC Website</t>
  </si>
  <si>
    <t>Neighborhood Notes: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</si>
</sst>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_(* #,##0_);_(* \(#,##0\);_(* &quot;-&quot;??_);_(@_)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8"/>
      <name val="Verdana"/>
      <family val="2"/>
    </font>
  </fonts>
  <fills count="2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73">
    <xf numFmtId="0" fontId="0" fillId="0" borderId="0" xfId="0"/>
    <xf numFmtId="0" fontId="0" fillId="2" borderId="1" xfId="0" applyFont="1" applyFill="1" applyBorder="1" applyAlignment="1"/>
    <xf numFmtId="0" fontId="1" fillId="0" borderId="0" xfId="0" applyFont="1" applyBorder="1" applyAlignment="1">
      <alignment vertical="center"/>
    </xf>
    <xf numFmtId="0" fontId="0" fillId="2" borderId="2" xfId="0" applyFill="1" applyBorder="1"/>
    <xf numFmtId="0" fontId="0" fillId="2" borderId="7" xfId="0" applyFill="1" applyBorder="1"/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0" borderId="1" xfId="0" applyBorder="1"/>
    <xf numFmtId="0" fontId="4" fillId="0" borderId="0" xfId="0" applyFont="1" applyAlignment="1">
      <alignment horizontal="center"/>
    </xf>
    <xf numFmtId="0" fontId="0" fillId="12" borderId="2" xfId="0" applyFont="1" applyFill="1" applyBorder="1" applyAlignment="1"/>
    <xf numFmtId="0" fontId="0" fillId="12" borderId="1" xfId="0" applyFont="1" applyFill="1" applyBorder="1" applyAlignment="1"/>
    <xf numFmtId="0" fontId="0" fillId="13" borderId="1" xfId="0" applyFont="1" applyFill="1" applyBorder="1" applyAlignment="1"/>
    <xf numFmtId="0" fontId="0" fillId="7" borderId="1" xfId="0" applyFont="1" applyFill="1" applyBorder="1" applyAlignment="1"/>
    <xf numFmtId="0" fontId="0" fillId="13" borderId="1" xfId="0" applyFill="1" applyBorder="1" applyAlignment="1"/>
    <xf numFmtId="0" fontId="0" fillId="14" borderId="1" xfId="0" applyFont="1" applyFill="1" applyBorder="1" applyAlignment="1"/>
    <xf numFmtId="0" fontId="0" fillId="9" borderId="1" xfId="0" applyFont="1" applyFill="1" applyBorder="1" applyAlignment="1"/>
    <xf numFmtId="0" fontId="0" fillId="15" borderId="1" xfId="0" applyFont="1" applyFill="1" applyBorder="1" applyAlignment="1"/>
    <xf numFmtId="0" fontId="0" fillId="11" borderId="1" xfId="0" applyFont="1" applyFill="1" applyBorder="1" applyAlignment="1"/>
    <xf numFmtId="0" fontId="0" fillId="16" borderId="1" xfId="0" applyFont="1" applyFill="1" applyBorder="1" applyAlignment="1"/>
    <xf numFmtId="0" fontId="0" fillId="2" borderId="0" xfId="0" applyFont="1" applyFill="1" applyBorder="1" applyAlignment="1"/>
    <xf numFmtId="0" fontId="4" fillId="0" borderId="0" xfId="0" applyFont="1"/>
    <xf numFmtId="0" fontId="0" fillId="0" borderId="0" xfId="0" applyAlignment="1">
      <alignment horizontal="right"/>
    </xf>
    <xf numFmtId="0" fontId="0" fillId="16" borderId="0" xfId="0" applyFill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/>
    <xf numFmtId="0" fontId="0" fillId="11" borderId="1" xfId="0" applyFill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0" fontId="1" fillId="0" borderId="11" xfId="0" applyFont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4" fillId="16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12" borderId="12" xfId="0" applyFont="1" applyFill="1" applyBorder="1"/>
    <xf numFmtId="0" fontId="1" fillId="12" borderId="13" xfId="0" applyFont="1" applyFill="1" applyBorder="1" applyAlignment="1">
      <alignment horizontal="center" vertical="center" wrapText="1"/>
    </xf>
    <xf numFmtId="0" fontId="1" fillId="12" borderId="14" xfId="0" applyFont="1" applyFill="1" applyBorder="1"/>
    <xf numFmtId="0" fontId="1" fillId="12" borderId="15" xfId="0" applyFont="1" applyFill="1" applyBorder="1" applyAlignment="1">
      <alignment horizontal="center"/>
    </xf>
    <xf numFmtId="0" fontId="1" fillId="12" borderId="16" xfId="0" applyFont="1" applyFill="1" applyBorder="1"/>
    <xf numFmtId="0" fontId="1" fillId="12" borderId="7" xfId="0" applyFont="1" applyFill="1" applyBorder="1" applyAlignment="1">
      <alignment horizontal="center"/>
    </xf>
    <xf numFmtId="0" fontId="1" fillId="0" borderId="14" xfId="0" applyFont="1" applyFill="1" applyBorder="1"/>
    <xf numFmtId="0" fontId="1" fillId="0" borderId="0" xfId="0" applyFont="1" applyFill="1" applyBorder="1"/>
    <xf numFmtId="0" fontId="0" fillId="2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1" fillId="21" borderId="0" xfId="0" applyFont="1" applyFill="1" applyAlignment="1">
      <alignment horizontal="center" vertical="center" wrapText="1"/>
    </xf>
    <xf numFmtId="0" fontId="1" fillId="10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1" fillId="22" borderId="0" xfId="0" applyFont="1" applyFill="1" applyAlignment="1">
      <alignment horizontal="center" vertical="center" wrapText="1"/>
    </xf>
    <xf numFmtId="0" fontId="1" fillId="14" borderId="0" xfId="0" applyFont="1" applyFill="1" applyAlignment="1">
      <alignment horizontal="center" vertical="center" wrapText="1"/>
    </xf>
    <xf numFmtId="0" fontId="1" fillId="23" borderId="0" xfId="0" applyFont="1" applyFill="1" applyAlignment="1">
      <alignment horizontal="center" vertical="center" wrapText="1"/>
    </xf>
    <xf numFmtId="0" fontId="1" fillId="8" borderId="1" xfId="0" applyFont="1" applyFill="1" applyBorder="1"/>
    <xf numFmtId="0" fontId="0" fillId="4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8" borderId="0" xfId="0" applyFont="1" applyFill="1" applyAlignment="1">
      <alignment horizontal="center" vertical="center" wrapText="1"/>
    </xf>
    <xf numFmtId="0" fontId="0" fillId="18" borderId="0" xfId="0" applyFont="1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12" borderId="15" xfId="0" applyFont="1" applyFill="1" applyBorder="1" applyAlignment="1">
      <alignment horizontal="center" vertical="center" wrapText="1"/>
    </xf>
    <xf numFmtId="165" fontId="0" fillId="0" borderId="0" xfId="5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166" fontId="0" fillId="0" borderId="0" xfId="3" applyNumberFormat="1" applyFont="1" applyAlignment="1">
      <alignment horizontal="left" indent="2"/>
    </xf>
    <xf numFmtId="167" fontId="0" fillId="0" borderId="0" xfId="5" applyNumberFormat="1" applyFont="1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4" fillId="2" borderId="0" xfId="0" applyFont="1" applyFill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16" borderId="0" xfId="0" applyFont="1" applyFill="1"/>
    <xf numFmtId="0" fontId="1" fillId="24" borderId="0" xfId="0" applyFont="1" applyFill="1" applyBorder="1"/>
    <xf numFmtId="0" fontId="4" fillId="24" borderId="0" xfId="0" applyFont="1" applyFill="1" applyBorder="1"/>
    <xf numFmtId="0" fontId="4" fillId="24" borderId="20" xfId="0" applyFont="1" applyFill="1" applyBorder="1"/>
    <xf numFmtId="0" fontId="0" fillId="24" borderId="0" xfId="0" applyFill="1" applyBorder="1"/>
    <xf numFmtId="0" fontId="0" fillId="24" borderId="21" xfId="0" applyFill="1" applyBorder="1"/>
    <xf numFmtId="0" fontId="0" fillId="24" borderId="20" xfId="0" applyFill="1" applyBorder="1"/>
    <xf numFmtId="166" fontId="0" fillId="24" borderId="0" xfId="3" applyNumberFormat="1" applyFont="1" applyFill="1" applyBorder="1"/>
    <xf numFmtId="166" fontId="0" fillId="24" borderId="0" xfId="0" applyNumberFormat="1" applyFill="1" applyBorder="1"/>
    <xf numFmtId="0" fontId="0" fillId="24" borderId="22" xfId="0" applyFill="1" applyBorder="1"/>
    <xf numFmtId="0" fontId="0" fillId="24" borderId="23" xfId="0" applyFill="1" applyBorder="1"/>
    <xf numFmtId="0" fontId="0" fillId="24" borderId="24" xfId="0" applyFill="1" applyBorder="1"/>
    <xf numFmtId="0" fontId="0" fillId="24" borderId="1" xfId="0" applyFill="1" applyBorder="1" applyAlignment="1">
      <alignment horizontal="center"/>
    </xf>
    <xf numFmtId="0" fontId="1" fillId="24" borderId="0" xfId="0" applyFont="1" applyFill="1" applyBorder="1" applyAlignment="1">
      <alignment horizontal="left"/>
    </xf>
    <xf numFmtId="0" fontId="0" fillId="25" borderId="0" xfId="0" applyFill="1"/>
    <xf numFmtId="0" fontId="0" fillId="25" borderId="17" xfId="0" applyFill="1" applyBorder="1"/>
    <xf numFmtId="0" fontId="0" fillId="25" borderId="18" xfId="0" applyFill="1" applyBorder="1"/>
    <xf numFmtId="0" fontId="0" fillId="25" borderId="19" xfId="0" applyFill="1" applyBorder="1"/>
    <xf numFmtId="0" fontId="0" fillId="25" borderId="0" xfId="0" applyFill="1" applyBorder="1"/>
    <xf numFmtId="0" fontId="0" fillId="25" borderId="21" xfId="0" applyFill="1" applyBorder="1"/>
    <xf numFmtId="0" fontId="0" fillId="25" borderId="24" xfId="0" applyFill="1" applyBorder="1"/>
    <xf numFmtId="0" fontId="1" fillId="25" borderId="0" xfId="0" applyFont="1" applyFill="1" applyBorder="1" applyAlignment="1">
      <alignment horizontal="left"/>
    </xf>
    <xf numFmtId="0" fontId="9" fillId="25" borderId="0" xfId="0" applyFont="1" applyFill="1"/>
    <xf numFmtId="0" fontId="0" fillId="25" borderId="30" xfId="0" applyFill="1" applyBorder="1"/>
    <xf numFmtId="0" fontId="0" fillId="25" borderId="31" xfId="0" applyFill="1" applyBorder="1"/>
    <xf numFmtId="0" fontId="0" fillId="25" borderId="32" xfId="0" applyFill="1" applyBorder="1"/>
    <xf numFmtId="0" fontId="0" fillId="13" borderId="1" xfId="0" applyFill="1" applyBorder="1" applyAlignment="1">
      <alignment horizontal="center"/>
    </xf>
    <xf numFmtId="0" fontId="0" fillId="13" borderId="0" xfId="0" applyFill="1" applyBorder="1"/>
    <xf numFmtId="0" fontId="0" fillId="24" borderId="0" xfId="0" applyFill="1" applyBorder="1" applyAlignment="1">
      <alignment horizontal="left" indent="1"/>
    </xf>
    <xf numFmtId="0" fontId="0" fillId="13" borderId="0" xfId="0" applyFill="1" applyBorder="1" applyAlignment="1">
      <alignment horizontal="left" indent="1"/>
    </xf>
    <xf numFmtId="166" fontId="0" fillId="13" borderId="1" xfId="3" applyNumberFormat="1" applyFont="1" applyFill="1" applyBorder="1"/>
    <xf numFmtId="166" fontId="0" fillId="24" borderId="1" xfId="3" applyNumberFormat="1" applyFont="1" applyFill="1" applyBorder="1"/>
    <xf numFmtId="9" fontId="0" fillId="13" borderId="1" xfId="4" applyFont="1" applyFill="1" applyBorder="1"/>
    <xf numFmtId="166" fontId="0" fillId="13" borderId="1" xfId="0" applyNumberFormat="1" applyFill="1" applyBorder="1"/>
    <xf numFmtId="166" fontId="0" fillId="24" borderId="1" xfId="0" applyNumberFormat="1" applyFill="1" applyBorder="1"/>
    <xf numFmtId="0" fontId="0" fillId="24" borderId="25" xfId="0" applyFill="1" applyBorder="1"/>
    <xf numFmtId="0" fontId="0" fillId="24" borderId="26" xfId="0" applyFill="1" applyBorder="1"/>
    <xf numFmtId="0" fontId="0" fillId="24" borderId="27" xfId="0" applyFill="1" applyBorder="1"/>
    <xf numFmtId="0" fontId="0" fillId="24" borderId="28" xfId="0" applyFill="1" applyBorder="1"/>
    <xf numFmtId="0" fontId="1" fillId="24" borderId="11" xfId="0" applyFont="1" applyFill="1" applyBorder="1" applyAlignment="1">
      <alignment horizontal="left" wrapText="1"/>
    </xf>
    <xf numFmtId="0" fontId="1" fillId="24" borderId="0" xfId="0" applyFont="1" applyFill="1" applyBorder="1" applyAlignment="1">
      <alignment horizontal="left" wrapText="1"/>
    </xf>
    <xf numFmtId="0" fontId="0" fillId="24" borderId="29" xfId="0" applyFill="1" applyBorder="1"/>
    <xf numFmtId="0" fontId="0" fillId="24" borderId="0" xfId="5" applyNumberFormat="1" applyFont="1" applyFill="1" applyBorder="1"/>
    <xf numFmtId="0" fontId="4" fillId="24" borderId="0" xfId="0" applyFont="1" applyFill="1" applyBorder="1" applyAlignment="1">
      <alignment horizontal="center"/>
    </xf>
    <xf numFmtId="0" fontId="0" fillId="24" borderId="0" xfId="5" applyNumberFormat="1" applyFont="1" applyFill="1" applyAlignment="1">
      <alignment horizontal="center"/>
    </xf>
    <xf numFmtId="0" fontId="0" fillId="24" borderId="0" xfId="5" applyNumberFormat="1" applyFont="1" applyFill="1" applyBorder="1" applyAlignment="1">
      <alignment horizontal="center"/>
    </xf>
    <xf numFmtId="0" fontId="10" fillId="0" borderId="0" xfId="0" applyFont="1"/>
    <xf numFmtId="164" fontId="0" fillId="0" borderId="0" xfId="6" applyFont="1"/>
    <xf numFmtId="0" fontId="0" fillId="0" borderId="12" xfId="0" applyBorder="1"/>
    <xf numFmtId="164" fontId="0" fillId="0" borderId="13" xfId="6" applyFont="1" applyBorder="1"/>
    <xf numFmtId="0" fontId="0" fillId="0" borderId="14" xfId="0" applyBorder="1"/>
    <xf numFmtId="164" fontId="0" fillId="0" borderId="15" xfId="6" applyFont="1" applyBorder="1"/>
    <xf numFmtId="0" fontId="0" fillId="0" borderId="16" xfId="0" applyBorder="1"/>
    <xf numFmtId="164" fontId="0" fillId="0" borderId="7" xfId="6" applyFont="1" applyBorder="1"/>
    <xf numFmtId="0" fontId="0" fillId="0" borderId="0" xfId="0" applyFill="1" applyBorder="1"/>
    <xf numFmtId="4" fontId="0" fillId="0" borderId="0" xfId="6" applyNumberFormat="1" applyFont="1" applyBorder="1"/>
    <xf numFmtId="164" fontId="0" fillId="0" borderId="0" xfId="6" applyFont="1" applyBorder="1"/>
    <xf numFmtId="164" fontId="0" fillId="26" borderId="0" xfId="0" applyNumberFormat="1" applyFill="1"/>
    <xf numFmtId="164" fontId="0" fillId="27" borderId="0" xfId="0" applyNumberFormat="1" applyFill="1"/>
    <xf numFmtId="0" fontId="4" fillId="24" borderId="17" xfId="0" applyFont="1" applyFill="1" applyBorder="1"/>
    <xf numFmtId="0" fontId="0" fillId="24" borderId="18" xfId="0" applyFill="1" applyBorder="1"/>
    <xf numFmtId="0" fontId="0" fillId="24" borderId="19" xfId="0" applyFill="1" applyBorder="1"/>
    <xf numFmtId="0" fontId="1" fillId="0" borderId="0" xfId="0" applyFont="1" applyAlignment="1">
      <alignment horizontal="center"/>
    </xf>
    <xf numFmtId="0" fontId="0" fillId="17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18" borderId="14" xfId="0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</cellXfs>
  <cellStyles count="7">
    <cellStyle name="Comma" xfId="5" builtinId="3"/>
    <cellStyle name="Currency" xfId="3" builtinId="4"/>
    <cellStyle name="Currency 2" xfId="6"/>
    <cellStyle name="Followed Hyperlink" xfId="2" builtinId="9" hidden="1"/>
    <cellStyle name="Hyperlink" xfId="1" builtinId="8" hidden="1"/>
    <cellStyle name="Normal" xfId="0" builtinId="0"/>
    <cellStyle name="Percent" xfId="4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4" Type="http://schemas.openxmlformats.org/officeDocument/2006/relationships/calcChain" Target="calcChain.xml"/><Relationship Id="rId4" Type="http://schemas.openxmlformats.org/officeDocument/2006/relationships/worksheet" Target="worksheets/sheet4.xml"/><Relationship Id="rId7" Type="http://schemas.openxmlformats.org/officeDocument/2006/relationships/worksheet" Target="worksheets/sheet7.xml"/><Relationship Id="rId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9" Type="http://schemas.openxmlformats.org/officeDocument/2006/relationships/worksheet" Target="worksheets/sheet9.xml"/><Relationship Id="rId3" Type="http://schemas.openxmlformats.org/officeDocument/2006/relationships/worksheet" Target="worksheets/shee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err264/LOCALS~1/Temp/Model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puts and Outputs"/>
      <sheetName val="Recommended Apartments"/>
      <sheetName val="Apartment Scores"/>
      <sheetName val="Apartment Listings"/>
      <sheetName val="Preference Scores"/>
      <sheetName val="Neighborhood Characteristics"/>
      <sheetName val="Commuter Model"/>
      <sheetName val="Neighborhood Matching Prefs"/>
      <sheetName val="Financial Model"/>
      <sheetName val="Sheet1"/>
    </sheetNames>
    <sheetDataSet>
      <sheetData sheetId="0">
        <row r="29">
          <cell r="D29">
            <v>100000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AV47"/>
  <sheetViews>
    <sheetView tabSelected="1" zoomScale="90" zoomScaleNormal="90" zoomScalePageLayoutView="90" workbookViewId="0">
      <selection activeCell="D23" sqref="D23"/>
    </sheetView>
  </sheetViews>
  <sheetFormatPr baseColWidth="10" defaultColWidth="8.875" defaultRowHeight="15"/>
  <cols>
    <col min="1" max="2" width="1.75" style="102" customWidth="1"/>
    <col min="3" max="3" width="52" style="102" bestFit="1" customWidth="1"/>
    <col min="4" max="4" width="21.875" style="102" customWidth="1"/>
    <col min="5" max="7" width="1.75" style="102" customWidth="1"/>
    <col min="8" max="8" width="29.75" style="102" customWidth="1"/>
    <col min="9" max="10" width="12.75" style="102" customWidth="1"/>
    <col min="11" max="22" width="8.875" style="102"/>
    <col min="23" max="23" width="1.75" style="102" customWidth="1"/>
    <col min="24" max="34" width="10.75" style="102" customWidth="1"/>
    <col min="35" max="35" width="8.875" style="102"/>
    <col min="36" max="36" width="12.375" style="102" bestFit="1" customWidth="1"/>
    <col min="37" max="37" width="10" style="102" bestFit="1" customWidth="1"/>
    <col min="38" max="16384" width="8.875" style="102"/>
  </cols>
  <sheetData>
    <row r="1" spans="2:48" ht="16" thickBot="1"/>
    <row r="2" spans="2:48" ht="16" thickBot="1">
      <c r="C2" s="106"/>
      <c r="D2" s="104"/>
      <c r="E2" s="105"/>
    </row>
    <row r="3" spans="2:48">
      <c r="B3" s="147" t="s">
        <v>190</v>
      </c>
      <c r="C3" s="148"/>
      <c r="D3" s="148"/>
      <c r="E3" s="149"/>
      <c r="G3" s="103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5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</row>
    <row r="4" spans="2:48">
      <c r="B4" s="94"/>
      <c r="C4" s="89" t="s">
        <v>187</v>
      </c>
      <c r="D4" s="92"/>
      <c r="E4" s="93"/>
      <c r="G4" s="91" t="s">
        <v>175</v>
      </c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107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</row>
    <row r="5" spans="2:48" ht="7.5" customHeight="1">
      <c r="B5" s="94"/>
      <c r="C5" s="92"/>
      <c r="D5" s="92"/>
      <c r="E5" s="93"/>
      <c r="G5" s="94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107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</row>
    <row r="6" spans="2:48">
      <c r="B6" s="94"/>
      <c r="C6" s="115" t="s">
        <v>131</v>
      </c>
      <c r="D6" s="114" t="s">
        <v>23</v>
      </c>
      <c r="E6" s="93"/>
      <c r="G6" s="94" t="s">
        <v>176</v>
      </c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107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</row>
    <row r="7" spans="2:48">
      <c r="B7" s="94"/>
      <c r="C7" s="92" t="s">
        <v>132</v>
      </c>
      <c r="D7" s="100" t="s">
        <v>28</v>
      </c>
      <c r="E7" s="93"/>
      <c r="G7" s="94"/>
      <c r="H7" s="92" t="s">
        <v>184</v>
      </c>
      <c r="I7" s="95">
        <v>132000</v>
      </c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107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</row>
    <row r="8" spans="2:48" ht="16" thickBot="1">
      <c r="B8" s="94"/>
      <c r="C8" s="115" t="s">
        <v>133</v>
      </c>
      <c r="D8" s="114" t="s">
        <v>35</v>
      </c>
      <c r="E8" s="93"/>
      <c r="G8" s="94"/>
      <c r="H8" s="92" t="s">
        <v>185</v>
      </c>
      <c r="I8" s="96">
        <f>(I7*0.3)/12</f>
        <v>3300</v>
      </c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107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K8" s="110" t="s">
        <v>186</v>
      </c>
    </row>
    <row r="9" spans="2:48" ht="16" thickTop="1">
      <c r="B9" s="94"/>
      <c r="C9" s="92" t="s">
        <v>134</v>
      </c>
      <c r="D9" s="100" t="s">
        <v>206</v>
      </c>
      <c r="E9" s="93"/>
      <c r="G9" s="94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107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J9" s="123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5"/>
    </row>
    <row r="10" spans="2:48" ht="15" customHeight="1">
      <c r="B10" s="94"/>
      <c r="C10" s="115" t="s">
        <v>135</v>
      </c>
      <c r="D10" s="114" t="s">
        <v>34</v>
      </c>
      <c r="E10" s="93"/>
      <c r="G10" s="94"/>
      <c r="H10" s="90" t="s">
        <v>178</v>
      </c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107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J10" s="126"/>
      <c r="AK10" s="89" t="s">
        <v>192</v>
      </c>
      <c r="AL10" s="127" t="s">
        <v>81</v>
      </c>
      <c r="AM10" s="127" t="s">
        <v>82</v>
      </c>
      <c r="AN10" s="127" t="s">
        <v>96</v>
      </c>
      <c r="AO10" s="127" t="s">
        <v>83</v>
      </c>
      <c r="AP10" s="127" t="s">
        <v>84</v>
      </c>
      <c r="AQ10" s="127" t="s">
        <v>85</v>
      </c>
      <c r="AR10" s="127" t="s">
        <v>88</v>
      </c>
      <c r="AS10" s="127" t="s">
        <v>86</v>
      </c>
      <c r="AT10" s="128" t="s">
        <v>93</v>
      </c>
      <c r="AU10" s="92" t="s">
        <v>191</v>
      </c>
      <c r="AV10" s="129"/>
    </row>
    <row r="11" spans="2:48">
      <c r="B11" s="94"/>
      <c r="C11" s="92" t="s">
        <v>160</v>
      </c>
      <c r="D11" s="100" t="s">
        <v>44</v>
      </c>
      <c r="E11" s="93"/>
      <c r="F11" s="102">
        <v>1</v>
      </c>
      <c r="G11" s="94"/>
      <c r="H11" s="89" t="str">
        <f ca="1">VLOOKUP($F$11,'Neighborhood Matching Prefs'!$T$4:$U$49,2,FALSE)</f>
        <v>Flatiron</v>
      </c>
      <c r="I11" s="131" t="s">
        <v>93</v>
      </c>
      <c r="J11" s="131" t="s">
        <v>191</v>
      </c>
      <c r="K11" s="90" t="s">
        <v>183</v>
      </c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107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J11" s="126"/>
      <c r="AK11" s="92">
        <v>4</v>
      </c>
      <c r="AL11" s="92">
        <v>6</v>
      </c>
      <c r="AM11" s="92">
        <v>8</v>
      </c>
      <c r="AN11" s="92">
        <f t="shared" ref="AN11:AS11" si="0">AM11+1</f>
        <v>9</v>
      </c>
      <c r="AO11" s="92">
        <f t="shared" si="0"/>
        <v>10</v>
      </c>
      <c r="AP11" s="92">
        <f t="shared" si="0"/>
        <v>11</v>
      </c>
      <c r="AQ11" s="92">
        <f t="shared" si="0"/>
        <v>12</v>
      </c>
      <c r="AR11" s="92">
        <f t="shared" si="0"/>
        <v>13</v>
      </c>
      <c r="AS11" s="92">
        <f t="shared" si="0"/>
        <v>14</v>
      </c>
      <c r="AT11" s="92">
        <v>4</v>
      </c>
      <c r="AU11" s="92">
        <v>5</v>
      </c>
      <c r="AV11" s="129"/>
    </row>
    <row r="12" spans="2:48">
      <c r="B12" s="94"/>
      <c r="C12" s="115" t="s">
        <v>161</v>
      </c>
      <c r="D12" s="114" t="s">
        <v>212</v>
      </c>
      <c r="E12" s="93"/>
      <c r="G12" s="94"/>
      <c r="H12" s="92" t="str">
        <f ca="1">IFERROR("Listing "&amp;VLOOKUP(VLOOKUP(1,'Apartment Scores'!$AD$4:$AE$23,2,0),'Apartment Scores'!$D$4:$G$153,4,0),"No Listing Available")</f>
        <v>Listing 49532</v>
      </c>
      <c r="I12" s="96">
        <f ca="1">IFERROR(AT12,"")</f>
        <v>3300</v>
      </c>
      <c r="J12" s="132">
        <f ca="1">IFERROR(ROUND(AU12,0),"")</f>
        <v>733</v>
      </c>
      <c r="K12" s="92" t="str">
        <f ca="1">IFERROR(IF(AL12=0,"Studio",IF(AL12=1,"One bedroom","Two bedroom"))&amp;" with "&amp;AM12&amp;" bathroom"&amp;IF(AN12=1,", outdoor space","")&amp;IF(AO12=1,", laundry","")&amp;IF(AP12=1,", an elevator","")&amp;IF(AQ12=1,", full-time doorman","")&amp;IF(AS12=1,", and parking","")&amp;IF(AR12=1,". Pets welcome.","."),"")</f>
        <v>One bedroom with 1 bathroom. Pets welcome.</v>
      </c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107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J12" s="126" t="str">
        <f ca="1">VLOOKUP(1,'Apartment Scores'!$AD$4:$AE$23,2,0)</f>
        <v>Flatiron1</v>
      </c>
      <c r="AK12" s="130">
        <f ca="1">VLOOKUP('Inputs and Outputs'!$AJ12,'Apartment Scores'!$D$4:$R$153,AK$11,0)</f>
        <v>49532</v>
      </c>
      <c r="AL12" s="92">
        <f ca="1">VLOOKUP($AK12,'Apartment Listings'!$A$4:$F$153,$AL$11,0)</f>
        <v>1</v>
      </c>
      <c r="AM12" s="130">
        <f ca="1">VLOOKUP('Inputs and Outputs'!$AJ12,'Apartment Scores'!$D$4:$R$153,AM$11,0)</f>
        <v>1</v>
      </c>
      <c r="AN12" s="130">
        <f ca="1">VLOOKUP('Inputs and Outputs'!$AJ12,'Apartment Scores'!$D$4:$R$153,AN$11,0)</f>
        <v>0</v>
      </c>
      <c r="AO12" s="130">
        <f ca="1">VLOOKUP('Inputs and Outputs'!$AJ12,'Apartment Scores'!$D$4:$R$153,AO$11,0)</f>
        <v>0</v>
      </c>
      <c r="AP12" s="130">
        <f ca="1">VLOOKUP('Inputs and Outputs'!$AJ12,'Apartment Scores'!$D$4:$R$153,AP$11,0)</f>
        <v>0</v>
      </c>
      <c r="AQ12" s="130">
        <f ca="1">VLOOKUP('Inputs and Outputs'!$AJ12,'Apartment Scores'!$D$4:$R$153,AQ$11,0)</f>
        <v>0</v>
      </c>
      <c r="AR12" s="130">
        <f ca="1">VLOOKUP('Inputs and Outputs'!$AJ12,'Apartment Scores'!$D$4:$R$153,AR$11,0)</f>
        <v>1</v>
      </c>
      <c r="AS12" s="130">
        <f ca="1">VLOOKUP('Inputs and Outputs'!$AJ12,'Apartment Scores'!$D$4:$R$153,AS$11,0)</f>
        <v>0</v>
      </c>
      <c r="AT12" s="92">
        <f ca="1">VLOOKUP($AK12,'Apartment Listings'!$A$4:$E$200,AT$11,0)</f>
        <v>3300</v>
      </c>
      <c r="AU12" s="92">
        <f ca="1">VLOOKUP($AK12,'Apartment Listings'!$A$4:$E$200,AU$11,0)</f>
        <v>733.33333333333337</v>
      </c>
      <c r="AV12" s="129"/>
    </row>
    <row r="13" spans="2:48">
      <c r="B13" s="94"/>
      <c r="C13" s="92" t="s">
        <v>162</v>
      </c>
      <c r="D13" s="100" t="s">
        <v>216</v>
      </c>
      <c r="E13" s="93"/>
      <c r="G13" s="94"/>
      <c r="H13" s="92" t="str">
        <f ca="1">IFERROR("Listing "&amp;VLOOKUP(VLOOKUP(2,'Apartment Scores'!$AD$4:$AE$23,2,0),'Apartment Scores'!$D$4:$G$153,4,0),"No Listing Available")</f>
        <v>Listing 52161</v>
      </c>
      <c r="I13" s="96">
        <f ca="1">IFERROR(AT13,"")</f>
        <v>3500</v>
      </c>
      <c r="J13" s="132">
        <f ca="1">IFERROR(ROUND(AU13,0),"")</f>
        <v>778</v>
      </c>
      <c r="K13" s="92" t="str">
        <f ca="1">IFERROR(IF(AL13=0,"Studio",IF(AL13=1,"One bedroom","Two bedroom"))&amp;" with "&amp;AM13&amp;" bathroom"&amp;IF(AN13=1,", outdoor space","")&amp;IF(AO13=1,", laundry","")&amp;IF(AP13=1,", an elevator","")&amp;IF(AQ13=1,", full-time doorman","")&amp;IF(AS13=1,", and parking","")&amp;IF(AR13=1,". Pets welcome.","."),"")</f>
        <v>One bedroom with 1 bathroom. Pets welcome.</v>
      </c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107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J13" s="126" t="str">
        <f ca="1">VLOOKUP(2,'Apartment Scores'!$AD$4:$AE$23,2,0)</f>
        <v>Flatiron2</v>
      </c>
      <c r="AK13" s="130">
        <f ca="1">VLOOKUP('Inputs and Outputs'!$AJ13,'Apartment Scores'!$D$4:$R$153,AK$11,0)</f>
        <v>52161</v>
      </c>
      <c r="AL13" s="92">
        <f ca="1">VLOOKUP($AK13,'Apartment Listings'!$A$4:$F$153,6,0)</f>
        <v>1</v>
      </c>
      <c r="AM13" s="130">
        <f ca="1">VLOOKUP('Inputs and Outputs'!$AJ13,'Apartment Scores'!$D$4:$R$153,AM$11,0)</f>
        <v>1</v>
      </c>
      <c r="AN13" s="130">
        <f ca="1">VLOOKUP('Inputs and Outputs'!$AJ13,'Apartment Scores'!$D$4:$R$153,AN$11,0)</f>
        <v>0</v>
      </c>
      <c r="AO13" s="130">
        <f ca="1">VLOOKUP('Inputs and Outputs'!$AJ13,'Apartment Scores'!$D$4:$R$153,AO$11,0)</f>
        <v>0</v>
      </c>
      <c r="AP13" s="130">
        <f ca="1">VLOOKUP('Inputs and Outputs'!$AJ13,'Apartment Scores'!$D$4:$R$153,AP$11,0)</f>
        <v>0</v>
      </c>
      <c r="AQ13" s="130">
        <f ca="1">VLOOKUP('Inputs and Outputs'!$AJ13,'Apartment Scores'!$D$4:$R$153,AQ$11,0)</f>
        <v>0</v>
      </c>
      <c r="AR13" s="130">
        <f ca="1">VLOOKUP('Inputs and Outputs'!$AJ13,'Apartment Scores'!$D$4:$R$153,AR$11,0)</f>
        <v>1</v>
      </c>
      <c r="AS13" s="130">
        <f ca="1">VLOOKUP('Inputs and Outputs'!$AJ13,'Apartment Scores'!$D$4:$R$153,AS$11,0)</f>
        <v>0</v>
      </c>
      <c r="AT13" s="92">
        <f ca="1">VLOOKUP($AK13,'Apartment Listings'!$A$4:$E$200,AT$11,0)</f>
        <v>3500</v>
      </c>
      <c r="AU13" s="92">
        <f ca="1">VLOOKUP($AK13,'Apartment Listings'!$A$4:$E$200,AU$11,0)</f>
        <v>777.77777777777783</v>
      </c>
      <c r="AV13" s="129"/>
    </row>
    <row r="14" spans="2:48">
      <c r="B14" s="94"/>
      <c r="C14" s="115" t="s">
        <v>163</v>
      </c>
      <c r="D14" s="114" t="s">
        <v>34</v>
      </c>
      <c r="E14" s="93"/>
      <c r="G14" s="94"/>
      <c r="H14" s="92" t="str">
        <f ca="1">IFERROR("Listing "&amp;VLOOKUP(VLOOKUP(3,'Apartment Scores'!$AD$4:$AE$23,2,0),'Apartment Scores'!$D$4:$G$153,4,0),"No Listing Available")</f>
        <v>Listing 98943</v>
      </c>
      <c r="I14" s="96">
        <f ca="1">IFERROR(AT14,"")</f>
        <v>3974</v>
      </c>
      <c r="J14" s="132">
        <f ca="1">IFERROR(ROUND(AU14,0),"")</f>
        <v>879</v>
      </c>
      <c r="K14" s="92" t="str">
        <f ca="1">IFERROR(IF(AL14=0,"Studio",IF(AL14=1,"One bedroom","Two bedroom"))&amp;" with "&amp;AM14&amp;" bathroom"&amp;IF(AN14=1,", outdoor space","")&amp;IF(AO14=1,", laundry","")&amp;IF(AP14=1,", an elevator","")&amp;IF(AQ14=1,", full-time doorman","")&amp;IF(AS14=1,", and parking","")&amp;IF(AR14=1,". Pets welcome.","."),"")</f>
        <v>One bedroom with 1 bathroom, laundry, an elevator, full-time doorman, and parking.</v>
      </c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107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J14" s="126" t="str">
        <f ca="1">VLOOKUP(3,'Apartment Scores'!$AD$4:$AE$23,2,0)</f>
        <v>Flatiron3</v>
      </c>
      <c r="AK14" s="130">
        <f ca="1">VLOOKUP('Inputs and Outputs'!$AJ14,'Apartment Scores'!$D$4:$R$153,AK$11,0)</f>
        <v>98943</v>
      </c>
      <c r="AL14" s="92">
        <f ca="1">VLOOKUP($AK14,'Apartment Listings'!$A$4:$F$153,6,0)</f>
        <v>1</v>
      </c>
      <c r="AM14" s="130">
        <f ca="1">VLOOKUP('Inputs and Outputs'!$AJ14,'Apartment Scores'!$D$4:$R$153,AM$11,0)</f>
        <v>1</v>
      </c>
      <c r="AN14" s="130">
        <f ca="1">VLOOKUP('Inputs and Outputs'!$AJ14,'Apartment Scores'!$D$4:$R$153,AN$11,0)</f>
        <v>0</v>
      </c>
      <c r="AO14" s="130">
        <f ca="1">VLOOKUP('Inputs and Outputs'!$AJ14,'Apartment Scores'!$D$4:$R$153,AO$11,0)</f>
        <v>1</v>
      </c>
      <c r="AP14" s="130">
        <f ca="1">VLOOKUP('Inputs and Outputs'!$AJ14,'Apartment Scores'!$D$4:$R$153,AP$11,0)</f>
        <v>1</v>
      </c>
      <c r="AQ14" s="130">
        <f ca="1">VLOOKUP('Inputs and Outputs'!$AJ14,'Apartment Scores'!$D$4:$R$153,AQ$11,0)</f>
        <v>1</v>
      </c>
      <c r="AR14" s="130">
        <f ca="1">VLOOKUP('Inputs and Outputs'!$AJ14,'Apartment Scores'!$D$4:$R$153,AR$11,0)</f>
        <v>0</v>
      </c>
      <c r="AS14" s="130">
        <f ca="1">VLOOKUP('Inputs and Outputs'!$AJ14,'Apartment Scores'!$D$4:$R$153,AS$11,0)</f>
        <v>1</v>
      </c>
      <c r="AT14" s="92">
        <f ca="1">VLOOKUP($AK14,'Apartment Listings'!$A$4:$E$200,AT$11,0)</f>
        <v>3974</v>
      </c>
      <c r="AU14" s="92">
        <f ca="1">VLOOKUP($AK14,'Apartment Listings'!$A$4:$E$200,AU$11,0)</f>
        <v>879</v>
      </c>
      <c r="AV14" s="129"/>
    </row>
    <row r="15" spans="2:48">
      <c r="B15" s="94"/>
      <c r="C15" s="92" t="s">
        <v>164</v>
      </c>
      <c r="D15" s="100" t="s">
        <v>77</v>
      </c>
      <c r="E15" s="93"/>
      <c r="G15" s="94"/>
      <c r="H15" s="92"/>
      <c r="I15" s="96"/>
      <c r="J15" s="13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107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J15" s="126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129"/>
    </row>
    <row r="16" spans="2:48">
      <c r="B16" s="94"/>
      <c r="C16" s="115" t="s">
        <v>165</v>
      </c>
      <c r="D16" s="114" t="s">
        <v>221</v>
      </c>
      <c r="E16" s="93"/>
      <c r="G16" s="94"/>
      <c r="H16" s="90" t="s">
        <v>179</v>
      </c>
      <c r="I16" s="96"/>
      <c r="J16" s="13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107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J16" s="126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129"/>
    </row>
    <row r="17" spans="2:48">
      <c r="B17" s="94"/>
      <c r="C17" s="92" t="s">
        <v>166</v>
      </c>
      <c r="D17" s="100" t="s">
        <v>226</v>
      </c>
      <c r="E17" s="93"/>
      <c r="F17" s="102">
        <v>2</v>
      </c>
      <c r="G17" s="94"/>
      <c r="H17" s="89" t="str">
        <f ca="1">VLOOKUP(F17,'Neighborhood Matching Prefs'!$T$4:$U$49,2,FALSE)</f>
        <v>Chelsea</v>
      </c>
      <c r="I17" s="96"/>
      <c r="J17" s="13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107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J17" s="126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129"/>
    </row>
    <row r="18" spans="2:48">
      <c r="B18" s="94"/>
      <c r="C18" s="115" t="s">
        <v>167</v>
      </c>
      <c r="D18" s="114" t="s">
        <v>1</v>
      </c>
      <c r="E18" s="93"/>
      <c r="G18" s="94"/>
      <c r="H18" s="92" t="str">
        <f ca="1">IFERROR("Listing "&amp;VLOOKUP(VLOOKUP(1,'Apartment Scores'!$AL$4:$AM$23,2,0),'Apartment Scores'!$D$4:$G$153,4,0),"No Listing Available")</f>
        <v>Listing 24329</v>
      </c>
      <c r="I18" s="96">
        <f ca="1">IFERROR(AT18,"")</f>
        <v>3400</v>
      </c>
      <c r="J18" s="132">
        <f ca="1">IFERROR(ROUND(AU18,0),"")</f>
        <v>869</v>
      </c>
      <c r="K18" s="92" t="str">
        <f ca="1">IFERROR(IF(AL18=0,"Studio",IF(AL18=1,"One bedroom","Two bedroom"))&amp;" with "&amp;AM18&amp;" bathroom"&amp;IF(AN18=1,", outdoor space","")&amp;IF(AO18=1,", laundry","")&amp;IF(AP18=1,", an elevator","")&amp;IF(AQ18=1,", full-time doorman","")&amp;IF(AS18=1,", and parking","")&amp;IF(AR18=1,". Pets welcome.","."),"")</f>
        <v>One bedroom with 1 bathroom, outdoor space, laundry, an elevator, full-time doorman, and parking.</v>
      </c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107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J18" s="126" t="str">
        <f ca="1">VLOOKUP(1,'Apartment Scores'!$AL$4:$AM$23,2,0)</f>
        <v>Chelsea1</v>
      </c>
      <c r="AK18" s="130">
        <f ca="1">VLOOKUP('Inputs and Outputs'!$AJ18,'Apartment Scores'!$D$4:$R$153,AK$11,0)</f>
        <v>24329</v>
      </c>
      <c r="AL18" s="92">
        <f ca="1">VLOOKUP($AK18,'Apartment Listings'!$A$4:$F$153,$AL$11,0)</f>
        <v>1</v>
      </c>
      <c r="AM18" s="130">
        <f ca="1">VLOOKUP('Inputs and Outputs'!$AJ18,'Apartment Scores'!$D$4:$R$153,AM$11,0)</f>
        <v>1</v>
      </c>
      <c r="AN18" s="130">
        <f ca="1">VLOOKUP('Inputs and Outputs'!$AJ18,'Apartment Scores'!$D$4:$R$153,AN$11,0)</f>
        <v>1</v>
      </c>
      <c r="AO18" s="130">
        <f ca="1">VLOOKUP('Inputs and Outputs'!$AJ18,'Apartment Scores'!$D$4:$R$153,AO$11,0)</f>
        <v>1</v>
      </c>
      <c r="AP18" s="130">
        <f ca="1">VLOOKUP('Inputs and Outputs'!$AJ18,'Apartment Scores'!$D$4:$R$153,AP$11,0)</f>
        <v>1</v>
      </c>
      <c r="AQ18" s="130">
        <f ca="1">VLOOKUP('Inputs and Outputs'!$AJ18,'Apartment Scores'!$D$4:$R$153,AQ$11,0)</f>
        <v>1</v>
      </c>
      <c r="AR18" s="130">
        <f ca="1">VLOOKUP('Inputs and Outputs'!$AJ18,'Apartment Scores'!$D$4:$R$153,AR$11,0)</f>
        <v>0</v>
      </c>
      <c r="AS18" s="130">
        <f ca="1">VLOOKUP('Inputs and Outputs'!$AJ18,'Apartment Scores'!$D$4:$R$153,AS$11,0)</f>
        <v>1</v>
      </c>
      <c r="AT18" s="92">
        <f ca="1">VLOOKUP($AK18,'Apartment Listings'!$A$4:$E$200,AT$11,0)</f>
        <v>3400</v>
      </c>
      <c r="AU18" s="92">
        <f ca="1">VLOOKUP($AK18,'Apartment Listings'!$A$4:$E$200,AU$11,0)</f>
        <v>869</v>
      </c>
      <c r="AV18" s="129"/>
    </row>
    <row r="19" spans="2:48">
      <c r="B19" s="94"/>
      <c r="C19" s="116" t="s">
        <v>168</v>
      </c>
      <c r="D19" s="100">
        <v>10</v>
      </c>
      <c r="E19" s="93"/>
      <c r="G19" s="94"/>
      <c r="H19" s="92" t="str">
        <f ca="1">IFERROR("Listing "&amp;VLOOKUP(VLOOKUP(2,'Apartment Scores'!$AL$4:$AM$23,2,0),'Apartment Scores'!$D$4:$G$153,4,0),"No Listing Available")</f>
        <v>Listing 81598</v>
      </c>
      <c r="I19" s="96">
        <f ca="1">IFERROR(AT19,"")</f>
        <v>3000</v>
      </c>
      <c r="J19" s="132">
        <f ca="1">IFERROR(ROUND(AU19,0),"")</f>
        <v>769</v>
      </c>
      <c r="K19" s="92" t="str">
        <f ca="1">IFERROR(IF(AL19=0,"Studio",IF(AL19=1,"One bedroom","Two bedroom"))&amp;" with "&amp;AM19&amp;" bathroom"&amp;IF(AN19=1,", outdoor space","")&amp;IF(AO19=1,", laundry","")&amp;IF(AP19=1,", an elevator","")&amp;IF(AQ19=1,", full-time doorman","")&amp;IF(AS19=1,", and parking","")&amp;IF(AR19=1,". Pets welcome.","."),"")</f>
        <v>One bedroom with 1 bathroom, an elevator, full-time doorman.</v>
      </c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107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J19" s="126" t="str">
        <f ca="1">VLOOKUP(2,'Apartment Scores'!$AL$4:$AM$23,2,0)</f>
        <v>Chelsea2</v>
      </c>
      <c r="AK19" s="130">
        <f ca="1">VLOOKUP('Inputs and Outputs'!$AJ19,'Apartment Scores'!$D$4:$R$153,AK$11,0)</f>
        <v>81598</v>
      </c>
      <c r="AL19" s="92">
        <f ca="1">VLOOKUP($AK19,'Apartment Listings'!$A$4:$F$153,$AL$11,0)</f>
        <v>1</v>
      </c>
      <c r="AM19" s="130">
        <f ca="1">VLOOKUP('Inputs and Outputs'!$AJ19,'Apartment Scores'!$D$4:$R$153,AM$11,0)</f>
        <v>1</v>
      </c>
      <c r="AN19" s="130">
        <f ca="1">VLOOKUP('Inputs and Outputs'!$AJ19,'Apartment Scores'!$D$4:$R$153,AN$11,0)</f>
        <v>0</v>
      </c>
      <c r="AO19" s="130">
        <f ca="1">VLOOKUP('Inputs and Outputs'!$AJ19,'Apartment Scores'!$D$4:$R$153,AO$11,0)</f>
        <v>0</v>
      </c>
      <c r="AP19" s="130">
        <f ca="1">VLOOKUP('Inputs and Outputs'!$AJ19,'Apartment Scores'!$D$4:$R$153,AP$11,0)</f>
        <v>1</v>
      </c>
      <c r="AQ19" s="130">
        <f ca="1">VLOOKUP('Inputs and Outputs'!$AJ19,'Apartment Scores'!$D$4:$R$153,AQ$11,0)</f>
        <v>1</v>
      </c>
      <c r="AR19" s="130">
        <f ca="1">VLOOKUP('Inputs and Outputs'!$AJ19,'Apartment Scores'!$D$4:$R$153,AR$11,0)</f>
        <v>0</v>
      </c>
      <c r="AS19" s="130">
        <f ca="1">VLOOKUP('Inputs and Outputs'!$AJ19,'Apartment Scores'!$D$4:$R$153,AS$11,0)</f>
        <v>0</v>
      </c>
      <c r="AT19" s="92">
        <f ca="1">VLOOKUP($AK19,'Apartment Listings'!$A$4:$E$200,AT$11,0)</f>
        <v>3000</v>
      </c>
      <c r="AU19" s="92">
        <f ca="1">VLOOKUP($AK19,'Apartment Listings'!$A$4:$E$200,AU$11,0)</f>
        <v>769.23076923076928</v>
      </c>
      <c r="AV19" s="129"/>
    </row>
    <row r="20" spans="2:48">
      <c r="B20" s="94"/>
      <c r="C20" s="115" t="s">
        <v>169</v>
      </c>
      <c r="D20" s="114" t="s">
        <v>56</v>
      </c>
      <c r="E20" s="93"/>
      <c r="G20" s="94"/>
      <c r="H20" s="92" t="str">
        <f ca="1">IFERROR("Listing "&amp;VLOOKUP(VLOOKUP(3,'Apartment Scores'!$AL$4:$AM$23,2,0),'Apartment Scores'!$D$4:$G$153,4,0),"No Listing Available")</f>
        <v>Listing 84939</v>
      </c>
      <c r="I20" s="96">
        <f ca="1">IFERROR(AT20,"")</f>
        <v>2400</v>
      </c>
      <c r="J20" s="132">
        <f ca="1">IFERROR(ROUND(AU20,0),"")</f>
        <v>615</v>
      </c>
      <c r="K20" s="92" t="str">
        <f ca="1">IFERROR(IF(AL20=0,"Studio",IF(AL20=1,"One bedroom","Two bedroom"))&amp;" with "&amp;AM20&amp;" bathroom"&amp;IF(AN20=1,", outdoor space","")&amp;IF(AO20=1,", laundry","")&amp;IF(AP20=1,", an elevator","")&amp;IF(AQ20=1,", full-time doorman","")&amp;IF(AS20=1,", and parking","")&amp;IF(AR20=1,". Pets welcome.","."),"")</f>
        <v>Studio with 1 bathroom, laundry. Pets welcome.</v>
      </c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107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J20" s="126" t="str">
        <f ca="1">VLOOKUP(3,'Apartment Scores'!$AL$4:$AM$23,2,0)</f>
        <v>Chelsea3</v>
      </c>
      <c r="AK20" s="130">
        <f ca="1">VLOOKUP('Inputs and Outputs'!$AJ20,'Apartment Scores'!$D$4:$R$153,AK$11,0)</f>
        <v>84939</v>
      </c>
      <c r="AL20" s="92">
        <f ca="1">VLOOKUP($AK20,'Apartment Listings'!$A$4:$F$153,$AL$11,0)</f>
        <v>0</v>
      </c>
      <c r="AM20" s="130">
        <f ca="1">VLOOKUP('Inputs and Outputs'!$AJ20,'Apartment Scores'!$D$4:$R$153,AM$11,0)</f>
        <v>1</v>
      </c>
      <c r="AN20" s="130">
        <f ca="1">VLOOKUP('Inputs and Outputs'!$AJ20,'Apartment Scores'!$D$4:$R$153,AN$11,0)</f>
        <v>0</v>
      </c>
      <c r="AO20" s="130">
        <f ca="1">VLOOKUP('Inputs and Outputs'!$AJ20,'Apartment Scores'!$D$4:$R$153,AO$11,0)</f>
        <v>1</v>
      </c>
      <c r="AP20" s="130">
        <f ca="1">VLOOKUP('Inputs and Outputs'!$AJ20,'Apartment Scores'!$D$4:$R$153,AP$11,0)</f>
        <v>0</v>
      </c>
      <c r="AQ20" s="130">
        <f ca="1">VLOOKUP('Inputs and Outputs'!$AJ20,'Apartment Scores'!$D$4:$R$153,AQ$11,0)</f>
        <v>0</v>
      </c>
      <c r="AR20" s="130">
        <f ca="1">VLOOKUP('Inputs and Outputs'!$AJ20,'Apartment Scores'!$D$4:$R$153,AR$11,0)</f>
        <v>1</v>
      </c>
      <c r="AS20" s="130">
        <f ca="1">VLOOKUP('Inputs and Outputs'!$AJ20,'Apartment Scores'!$D$4:$R$153,AS$11,0)</f>
        <v>0</v>
      </c>
      <c r="AT20" s="92">
        <f ca="1">VLOOKUP($AK20,'Apartment Listings'!$A$4:$E$200,AT$11,0)</f>
        <v>2400</v>
      </c>
      <c r="AU20" s="92">
        <f ca="1">VLOOKUP($AK20,'Apartment Listings'!$A$4:$E$200,AU$11,0)</f>
        <v>615.38461538461536</v>
      </c>
      <c r="AV20" s="129"/>
    </row>
    <row r="21" spans="2:48">
      <c r="B21" s="94"/>
      <c r="C21" s="116" t="s">
        <v>168</v>
      </c>
      <c r="D21" s="100">
        <v>2</v>
      </c>
      <c r="E21" s="93"/>
      <c r="G21" s="94"/>
      <c r="H21" s="92"/>
      <c r="I21" s="96"/>
      <c r="J21" s="13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107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J21" s="126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129"/>
    </row>
    <row r="22" spans="2:48">
      <c r="B22" s="94"/>
      <c r="C22" s="92"/>
      <c r="D22" s="92"/>
      <c r="E22" s="93"/>
      <c r="G22" s="94"/>
      <c r="H22" s="90" t="s">
        <v>180</v>
      </c>
      <c r="I22" s="96"/>
      <c r="J22" s="13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107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J22" s="126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129"/>
    </row>
    <row r="23" spans="2:48">
      <c r="B23" s="94"/>
      <c r="C23" s="115" t="s">
        <v>170</v>
      </c>
      <c r="D23" s="114" t="s">
        <v>138</v>
      </c>
      <c r="E23" s="93"/>
      <c r="F23" s="102">
        <v>3</v>
      </c>
      <c r="G23" s="94"/>
      <c r="H23" s="89" t="str">
        <f ca="1">VLOOKUP($F$23,'Neighborhood Matching Prefs'!$T$4:$U$49,2,FALSE)</f>
        <v>Soho</v>
      </c>
      <c r="I23" s="96"/>
      <c r="J23" s="133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107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J23" s="126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129"/>
    </row>
    <row r="24" spans="2:48">
      <c r="B24" s="94"/>
      <c r="C24" s="92"/>
      <c r="D24" s="100" t="s">
        <v>14</v>
      </c>
      <c r="E24" s="93"/>
      <c r="G24" s="94"/>
      <c r="H24" s="92" t="str">
        <f ca="1">IFERROR("Listing "&amp;VLOOKUP(VLOOKUP(1,'Apartment Scores'!$AT$4:$AU$23,2,0),'Apartment Scores'!$D$4:$G$153,4,0),"No Listing Available")</f>
        <v>Listing 61400</v>
      </c>
      <c r="I24" s="96">
        <f ca="1">IFERROR(AT24,"")</f>
        <v>3550</v>
      </c>
      <c r="J24" s="132">
        <f ca="1">IFERROR(ROUND(AU24,0),"")</f>
        <v>700</v>
      </c>
      <c r="K24" s="92" t="str">
        <f ca="1">IFERROR(IF(AL24=0,"Studio",IF(AL24=1,"One bedroom","Two bedroom"))&amp;" with "&amp;AM24&amp;" bathroom"&amp;IF(AN24=1,", outdoor space","")&amp;IF(AO24=1,", laundry","")&amp;IF(AP24=1,", an elevator","")&amp;IF(AQ24=1,", full-time doorman","")&amp;IF(AS24=1,", and parking","")&amp;IF(AR24=1,". Pets welcome.","."),"")</f>
        <v>Two bedroom with 1 bathroom, laundry.</v>
      </c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107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J24" s="126" t="str">
        <f ca="1">VLOOKUP(1,'Apartment Scores'!$AT$4:$AU$23,2,0)</f>
        <v>Soho1</v>
      </c>
      <c r="AK24" s="130">
        <f ca="1">VLOOKUP('Inputs and Outputs'!$AJ24,'Apartment Scores'!$D$4:$R$153,AK$11,0)</f>
        <v>61400</v>
      </c>
      <c r="AL24" s="92">
        <f ca="1">VLOOKUP($AK24,'Apartment Listings'!$A$4:$F$153,$AL$11,0)</f>
        <v>2</v>
      </c>
      <c r="AM24" s="130">
        <f ca="1">VLOOKUP('Inputs and Outputs'!$AJ24,'Apartment Scores'!$D$4:$R$153,AM$11,0)</f>
        <v>1</v>
      </c>
      <c r="AN24" s="130">
        <f ca="1">VLOOKUP('Inputs and Outputs'!$AJ24,'Apartment Scores'!$D$4:$R$153,AN$11,0)</f>
        <v>0</v>
      </c>
      <c r="AO24" s="130">
        <f ca="1">VLOOKUP('Inputs and Outputs'!$AJ24,'Apartment Scores'!$D$4:$R$153,AO$11,0)</f>
        <v>1</v>
      </c>
      <c r="AP24" s="130">
        <f ca="1">VLOOKUP('Inputs and Outputs'!$AJ24,'Apartment Scores'!$D$4:$R$153,AP$11,0)</f>
        <v>0</v>
      </c>
      <c r="AQ24" s="130">
        <f ca="1">VLOOKUP('Inputs and Outputs'!$AJ24,'Apartment Scores'!$D$4:$R$153,AQ$11,0)</f>
        <v>0</v>
      </c>
      <c r="AR24" s="130">
        <f ca="1">VLOOKUP('Inputs and Outputs'!$AJ24,'Apartment Scores'!$D$4:$R$153,AR$11,0)</f>
        <v>0</v>
      </c>
      <c r="AS24" s="130">
        <f ca="1">VLOOKUP('Inputs and Outputs'!$AJ24,'Apartment Scores'!$D$4:$R$153,AS$11,0)</f>
        <v>0</v>
      </c>
      <c r="AT24" s="92">
        <f ca="1">VLOOKUP($AK24,'Apartment Listings'!$A$4:$E$200,AT$11,0)</f>
        <v>3550</v>
      </c>
      <c r="AU24" s="92">
        <f ca="1">VLOOKUP($AK24,'Apartment Listings'!$A$4:$E$200,AU$11,0)</f>
        <v>700</v>
      </c>
      <c r="AV24" s="129"/>
    </row>
    <row r="25" spans="2:48">
      <c r="B25" s="94"/>
      <c r="C25" s="92"/>
      <c r="D25" s="114" t="s">
        <v>15</v>
      </c>
      <c r="E25" s="93"/>
      <c r="G25" s="94"/>
      <c r="H25" s="92" t="str">
        <f ca="1">IFERROR("Listing "&amp;VLOOKUP(VLOOKUP(2,'Apartment Scores'!$AT$4:$AU$23,2,0),'Apartment Scores'!$D$4:$G$153,4,0),"No Listing Available")</f>
        <v>Listing 83441</v>
      </c>
      <c r="I25" s="96">
        <f ca="1">IFERROR(AT25,"")</f>
        <v>3095</v>
      </c>
      <c r="J25" s="132">
        <f ca="1">IFERROR(ROUND(AU25,0),"")</f>
        <v>650</v>
      </c>
      <c r="K25" s="92" t="str">
        <f ca="1">IFERROR(IF(AL25=0,"Studio",IF(AL25=1,"One bedroom","Two bedroom"))&amp;" with "&amp;AM25&amp;" bathroom"&amp;IF(AN25=1,", outdoor space","")&amp;IF(AO25=1,", laundry","")&amp;IF(AP25=1,", an elevator","")&amp;IF(AQ25=1,", full-time doorman","")&amp;IF(AS25=1,", and parking","")&amp;IF(AR25=1,". Pets welcome.","."),"")</f>
        <v>One bedroom with 1 bathroom, laundry.</v>
      </c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107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J25" s="126" t="str">
        <f ca="1">VLOOKUP(2,'Apartment Scores'!$AT$4:$AU$23,2,0)</f>
        <v>Soho2</v>
      </c>
      <c r="AK25" s="130">
        <f ca="1">VLOOKUP('Inputs and Outputs'!$AJ25,'Apartment Scores'!$D$4:$R$153,AK$11,0)</f>
        <v>83441</v>
      </c>
      <c r="AL25" s="92">
        <f ca="1">VLOOKUP($AK25,'Apartment Listings'!$A$4:$F$153,$AL$11,0)</f>
        <v>1</v>
      </c>
      <c r="AM25" s="130">
        <f ca="1">VLOOKUP('Inputs and Outputs'!$AJ25,'Apartment Scores'!$D$4:$R$153,AM$11,0)</f>
        <v>1</v>
      </c>
      <c r="AN25" s="130">
        <f ca="1">VLOOKUP('Inputs and Outputs'!$AJ25,'Apartment Scores'!$D$4:$R$153,AN$11,0)</f>
        <v>0</v>
      </c>
      <c r="AO25" s="130">
        <f ca="1">VLOOKUP('Inputs and Outputs'!$AJ25,'Apartment Scores'!$D$4:$R$153,AO$11,0)</f>
        <v>1</v>
      </c>
      <c r="AP25" s="130">
        <f ca="1">VLOOKUP('Inputs and Outputs'!$AJ25,'Apartment Scores'!$D$4:$R$153,AP$11,0)</f>
        <v>0</v>
      </c>
      <c r="AQ25" s="130">
        <f ca="1">VLOOKUP('Inputs and Outputs'!$AJ25,'Apartment Scores'!$D$4:$R$153,AQ$11,0)</f>
        <v>0</v>
      </c>
      <c r="AR25" s="130">
        <f ca="1">VLOOKUP('Inputs and Outputs'!$AJ25,'Apartment Scores'!$D$4:$R$153,AR$11,0)</f>
        <v>0</v>
      </c>
      <c r="AS25" s="130">
        <f ca="1">VLOOKUP('Inputs and Outputs'!$AJ25,'Apartment Scores'!$D$4:$R$153,AS$11,0)</f>
        <v>0</v>
      </c>
      <c r="AT25" s="92">
        <f ca="1">VLOOKUP($AK25,'Apartment Listings'!$A$4:$E$200,AT$11,0)</f>
        <v>3095</v>
      </c>
      <c r="AU25" s="92">
        <f ca="1">VLOOKUP($AK25,'Apartment Listings'!$A$4:$E$200,AU$11,0)</f>
        <v>650</v>
      </c>
      <c r="AV25" s="129"/>
    </row>
    <row r="26" spans="2:48">
      <c r="B26" s="94"/>
      <c r="C26" s="92"/>
      <c r="D26" s="92"/>
      <c r="E26" s="93"/>
      <c r="G26" s="94"/>
      <c r="H26" s="92" t="str">
        <f ca="1">IFERROR("Listing "&amp;VLOOKUP(VLOOKUP(3,'Apartment Scores'!$AT$4:$AU$23,2,0),'Apartment Scores'!$D$4:$G$153,4,0),"No Listing Available")</f>
        <v>Listing 27546</v>
      </c>
      <c r="I26" s="96">
        <f ca="1">IFERROR(AT26,"")</f>
        <v>2495</v>
      </c>
      <c r="J26" s="132">
        <f ca="1">IFERROR(ROUND(AU26,0),"")</f>
        <v>600</v>
      </c>
      <c r="K26" s="92" t="str">
        <f ca="1">IFERROR(IF(AL26=0,"Studio",IF(AL26=1,"One bedroom","Two bedroom"))&amp;" with "&amp;AM26&amp;" bathroom"&amp;IF(AN26=1,", outdoor space","")&amp;IF(AO26=1,", laundry","")&amp;IF(AP26=1,", an elevator","")&amp;IF(AQ26=1,", full-time doorman","")&amp;IF(AS26=1,", and parking","")&amp;IF(AR26=1,". Pets welcome.","."),"")</f>
        <v>One bedroom with 1 bathroom.</v>
      </c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107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J26" s="126" t="str">
        <f ca="1">VLOOKUP(3,'Apartment Scores'!$AT$4:$AU$23,2,0)</f>
        <v>Soho3</v>
      </c>
      <c r="AK26" s="130">
        <f ca="1">VLOOKUP('Inputs and Outputs'!$AJ26,'Apartment Scores'!$D$4:$R$153,AK$11,0)</f>
        <v>27546</v>
      </c>
      <c r="AL26" s="92">
        <f ca="1">VLOOKUP($AK26,'Apartment Listings'!$A$4:$F$153,$AL$11,0)</f>
        <v>1</v>
      </c>
      <c r="AM26" s="130">
        <f ca="1">VLOOKUP('Inputs and Outputs'!$AJ26,'Apartment Scores'!$D$4:$R$153,AM$11,0)</f>
        <v>1</v>
      </c>
      <c r="AN26" s="130">
        <f ca="1">VLOOKUP('Inputs and Outputs'!$AJ26,'Apartment Scores'!$D$4:$R$153,AN$11,0)</f>
        <v>0</v>
      </c>
      <c r="AO26" s="130">
        <f ca="1">VLOOKUP('Inputs and Outputs'!$AJ26,'Apartment Scores'!$D$4:$R$153,AO$11,0)</f>
        <v>0</v>
      </c>
      <c r="AP26" s="130">
        <f ca="1">VLOOKUP('Inputs and Outputs'!$AJ26,'Apartment Scores'!$D$4:$R$153,AP$11,0)</f>
        <v>0</v>
      </c>
      <c r="AQ26" s="130">
        <f ca="1">VLOOKUP('Inputs and Outputs'!$AJ26,'Apartment Scores'!$D$4:$R$153,AQ$11,0)</f>
        <v>0</v>
      </c>
      <c r="AR26" s="130">
        <f ca="1">VLOOKUP('Inputs and Outputs'!$AJ26,'Apartment Scores'!$D$4:$R$153,AR$11,0)</f>
        <v>0</v>
      </c>
      <c r="AS26" s="130">
        <f ca="1">VLOOKUP('Inputs and Outputs'!$AJ26,'Apartment Scores'!$D$4:$R$153,AS$11,0)</f>
        <v>0</v>
      </c>
      <c r="AT26" s="92">
        <f ca="1">VLOOKUP($AK26,'Apartment Listings'!$A$4:$E$200,AT$11,0)</f>
        <v>2495</v>
      </c>
      <c r="AU26" s="92">
        <f ca="1">VLOOKUP($AK26,'Apartment Listings'!$A$4:$E$200,AU$11,0)</f>
        <v>600</v>
      </c>
      <c r="AV26" s="129"/>
    </row>
    <row r="27" spans="2:48" ht="16" thickBot="1">
      <c r="B27" s="94"/>
      <c r="C27" s="89" t="s">
        <v>188</v>
      </c>
      <c r="D27" s="92"/>
      <c r="E27" s="93"/>
      <c r="G27" s="97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108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J27" s="126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129"/>
    </row>
    <row r="28" spans="2:48" ht="7.5" customHeight="1" thickBot="1">
      <c r="B28" s="94"/>
      <c r="C28" s="92"/>
      <c r="D28" s="92"/>
      <c r="E28" s="93"/>
      <c r="AJ28" s="111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3"/>
    </row>
    <row r="29" spans="2:48" ht="16" thickTop="1">
      <c r="B29" s="94"/>
      <c r="C29" s="115" t="s">
        <v>171</v>
      </c>
      <c r="D29" s="118">
        <v>100000</v>
      </c>
      <c r="E29" s="93"/>
    </row>
    <row r="30" spans="2:48">
      <c r="B30" s="94"/>
      <c r="C30" s="92" t="s">
        <v>172</v>
      </c>
      <c r="D30" s="119">
        <v>30000</v>
      </c>
      <c r="E30" s="93"/>
    </row>
    <row r="31" spans="2:48">
      <c r="B31" s="94"/>
      <c r="C31" s="117" t="s">
        <v>173</v>
      </c>
      <c r="D31" s="118">
        <v>50000</v>
      </c>
      <c r="E31" s="93"/>
    </row>
    <row r="32" spans="2:48">
      <c r="B32" s="94"/>
      <c r="C32" s="116" t="s">
        <v>174</v>
      </c>
      <c r="D32" s="119">
        <v>20000</v>
      </c>
      <c r="E32" s="93"/>
    </row>
    <row r="33" spans="2:5">
      <c r="B33" s="94"/>
      <c r="C33" s="92"/>
      <c r="D33" s="96"/>
      <c r="E33" s="93"/>
    </row>
    <row r="34" spans="2:5">
      <c r="B34" s="94"/>
      <c r="C34" s="89" t="s">
        <v>189</v>
      </c>
      <c r="D34" s="96"/>
      <c r="E34" s="93"/>
    </row>
    <row r="35" spans="2:5" ht="7.5" customHeight="1">
      <c r="B35" s="94"/>
      <c r="C35" s="101"/>
      <c r="D35" s="92"/>
      <c r="E35" s="93"/>
    </row>
    <row r="36" spans="2:5">
      <c r="B36" s="94"/>
      <c r="C36" s="115" t="s">
        <v>81</v>
      </c>
      <c r="D36" s="114">
        <v>2</v>
      </c>
      <c r="E36" s="93"/>
    </row>
    <row r="37" spans="2:5">
      <c r="B37" s="94"/>
      <c r="C37" s="92" t="s">
        <v>82</v>
      </c>
      <c r="D37" s="100">
        <v>1</v>
      </c>
      <c r="E37" s="93"/>
    </row>
    <row r="38" spans="2:5">
      <c r="B38" s="94"/>
      <c r="C38" s="115" t="s">
        <v>87</v>
      </c>
      <c r="D38" s="114" t="s">
        <v>90</v>
      </c>
      <c r="E38" s="93"/>
    </row>
    <row r="39" spans="2:5">
      <c r="B39" s="94"/>
      <c r="C39" s="92" t="s">
        <v>83</v>
      </c>
      <c r="D39" s="100" t="s">
        <v>90</v>
      </c>
      <c r="E39" s="93"/>
    </row>
    <row r="40" spans="2:5">
      <c r="B40" s="94"/>
      <c r="C40" s="115" t="s">
        <v>84</v>
      </c>
      <c r="D40" s="114" t="s">
        <v>90</v>
      </c>
      <c r="E40" s="93"/>
    </row>
    <row r="41" spans="2:5">
      <c r="B41" s="94"/>
      <c r="C41" s="92" t="s">
        <v>85</v>
      </c>
      <c r="D41" s="100" t="s">
        <v>90</v>
      </c>
      <c r="E41" s="93"/>
    </row>
    <row r="42" spans="2:5">
      <c r="B42" s="94"/>
      <c r="C42" s="115" t="s">
        <v>88</v>
      </c>
      <c r="D42" s="114" t="s">
        <v>90</v>
      </c>
      <c r="E42" s="93"/>
    </row>
    <row r="43" spans="2:5">
      <c r="B43" s="94"/>
      <c r="C43" s="92" t="s">
        <v>86</v>
      </c>
      <c r="D43" s="100" t="s">
        <v>90</v>
      </c>
      <c r="E43" s="93"/>
    </row>
    <row r="44" spans="2:5" ht="16" thickBot="1">
      <c r="B44" s="97"/>
      <c r="C44" s="98"/>
      <c r="D44" s="98"/>
      <c r="E44" s="99"/>
    </row>
    <row r="45" spans="2:5">
      <c r="C45" s="106"/>
    </row>
    <row r="46" spans="2:5">
      <c r="C46" s="106"/>
    </row>
    <row r="47" spans="2:5">
      <c r="C47" s="109"/>
    </row>
  </sheetData>
  <dataConsolidate/>
  <phoneticPr fontId="11" type="noConversion"/>
  <dataValidations count="18">
    <dataValidation type="list" allowBlank="1" showInputMessage="1" showErrorMessage="1" sqref="D36">
      <formula1>Bedrooms</formula1>
    </dataValidation>
    <dataValidation type="list" allowBlank="1" showInputMessage="1" showErrorMessage="1" sqref="D37">
      <formula1>Bathrooms</formula1>
    </dataValidation>
    <dataValidation type="list" allowBlank="1" showInputMessage="1" showErrorMessage="1" sqref="D38:D43">
      <formula1>Terrace</formula1>
    </dataValidation>
    <dataValidation type="list" allowBlank="1" showInputMessage="1" showErrorMessage="1" sqref="D23:D25">
      <formula1>Characteristics</formula1>
    </dataValidation>
    <dataValidation type="list" allowBlank="1" showInputMessage="1" showErrorMessage="1" sqref="D10">
      <formula1>Bars</formula1>
    </dataValidation>
    <dataValidation type="list" allowBlank="1" showInputMessage="1" showErrorMessage="1" sqref="D6">
      <formula1>Supermarket</formula1>
    </dataValidation>
    <dataValidation type="list" allowBlank="1" showInputMessage="1" showErrorMessage="1" sqref="D7">
      <formula1>Fitness</formula1>
    </dataValidation>
    <dataValidation type="list" allowBlank="1" showInputMessage="1" showErrorMessage="1" sqref="D8">
      <formula1>Shopping</formula1>
    </dataValidation>
    <dataValidation type="list" allowBlank="1" showInputMessage="1" showErrorMessage="1" sqref="D9">
      <formula1>Restaurants</formula1>
    </dataValidation>
    <dataValidation type="list" allowBlank="1" showInputMessage="1" showErrorMessage="1" sqref="D11">
      <formula1>Nightlife</formula1>
    </dataValidation>
    <dataValidation type="list" allowBlank="1" showInputMessage="1" showErrorMessage="1" sqref="D12">
      <formula1>Style</formula1>
    </dataValidation>
    <dataValidation type="list" allowBlank="1" showInputMessage="1" showErrorMessage="1" sqref="D13">
      <formula1>Transportation</formula1>
    </dataValidation>
    <dataValidation type="list" allowBlank="1" showInputMessage="1" showErrorMessage="1" sqref="D14">
      <formula1>Safety</formula1>
    </dataValidation>
    <dataValidation type="list" allowBlank="1" showInputMessage="1" showErrorMessage="1" sqref="D15">
      <formula1>Noise</formula1>
    </dataValidation>
    <dataValidation type="list" allowBlank="1" showInputMessage="1" showErrorMessage="1" sqref="D16">
      <formula1>Hospitals</formula1>
    </dataValidation>
    <dataValidation type="list" allowBlank="1" showInputMessage="1" showErrorMessage="1" sqref="D17">
      <formula1>Parks</formula1>
    </dataValidation>
    <dataValidation type="list" allowBlank="1" showInputMessage="1" showErrorMessage="1" sqref="D18 D20">
      <formula1>Neighborhoods</formula1>
    </dataValidation>
    <dataValidation type="list" allowBlank="1" showInputMessage="1" showErrorMessage="1" sqref="D19 D21">
      <formula1>TimesPerWeek</formula1>
    </dataValidation>
  </dataValidations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16"/>
  <sheetViews>
    <sheetView workbookViewId="0">
      <selection activeCell="B8" sqref="B8"/>
    </sheetView>
  </sheetViews>
  <sheetFormatPr baseColWidth="10" defaultColWidth="8.625" defaultRowHeight="15"/>
  <cols>
    <col min="1" max="1" width="23.375" customWidth="1"/>
    <col min="2" max="2" width="12.625" bestFit="1" customWidth="1"/>
    <col min="7" max="7" width="46.75" bestFit="1" customWidth="1"/>
    <col min="8" max="8" width="10" bestFit="1" customWidth="1"/>
    <col min="257" max="257" width="23.375" customWidth="1"/>
    <col min="258" max="258" width="12.625" bestFit="1" customWidth="1"/>
    <col min="513" max="513" width="23.375" customWidth="1"/>
    <col min="514" max="514" width="12.625" bestFit="1" customWidth="1"/>
    <col min="769" max="769" width="23.375" customWidth="1"/>
    <col min="770" max="770" width="12.625" bestFit="1" customWidth="1"/>
    <col min="1025" max="1025" width="23.375" customWidth="1"/>
    <col min="1026" max="1026" width="12.625" bestFit="1" customWidth="1"/>
    <col min="1281" max="1281" width="23.375" customWidth="1"/>
    <col min="1282" max="1282" width="12.625" bestFit="1" customWidth="1"/>
    <col min="1537" max="1537" width="23.375" customWidth="1"/>
    <col min="1538" max="1538" width="12.625" bestFit="1" customWidth="1"/>
    <col min="1793" max="1793" width="23.375" customWidth="1"/>
    <col min="1794" max="1794" width="12.625" bestFit="1" customWidth="1"/>
    <col min="2049" max="2049" width="23.375" customWidth="1"/>
    <col min="2050" max="2050" width="12.625" bestFit="1" customWidth="1"/>
    <col min="2305" max="2305" width="23.375" customWidth="1"/>
    <col min="2306" max="2306" width="12.625" bestFit="1" customWidth="1"/>
    <col min="2561" max="2561" width="23.375" customWidth="1"/>
    <col min="2562" max="2562" width="12.625" bestFit="1" customWidth="1"/>
    <col min="2817" max="2817" width="23.375" customWidth="1"/>
    <col min="2818" max="2818" width="12.625" bestFit="1" customWidth="1"/>
    <col min="3073" max="3073" width="23.375" customWidth="1"/>
    <col min="3074" max="3074" width="12.625" bestFit="1" customWidth="1"/>
    <col min="3329" max="3329" width="23.375" customWidth="1"/>
    <col min="3330" max="3330" width="12.625" bestFit="1" customWidth="1"/>
    <col min="3585" max="3585" width="23.375" customWidth="1"/>
    <col min="3586" max="3586" width="12.625" bestFit="1" customWidth="1"/>
    <col min="3841" max="3841" width="23.375" customWidth="1"/>
    <col min="3842" max="3842" width="12.625" bestFit="1" customWidth="1"/>
    <col min="4097" max="4097" width="23.375" customWidth="1"/>
    <col min="4098" max="4098" width="12.625" bestFit="1" customWidth="1"/>
    <col min="4353" max="4353" width="23.375" customWidth="1"/>
    <col min="4354" max="4354" width="12.625" bestFit="1" customWidth="1"/>
    <col min="4609" max="4609" width="23.375" customWidth="1"/>
    <col min="4610" max="4610" width="12.625" bestFit="1" customWidth="1"/>
    <col min="4865" max="4865" width="23.375" customWidth="1"/>
    <col min="4866" max="4866" width="12.625" bestFit="1" customWidth="1"/>
    <col min="5121" max="5121" width="23.375" customWidth="1"/>
    <col min="5122" max="5122" width="12.625" bestFit="1" customWidth="1"/>
    <col min="5377" max="5377" width="23.375" customWidth="1"/>
    <col min="5378" max="5378" width="12.625" bestFit="1" customWidth="1"/>
    <col min="5633" max="5633" width="23.375" customWidth="1"/>
    <col min="5634" max="5634" width="12.625" bestFit="1" customWidth="1"/>
    <col min="5889" max="5889" width="23.375" customWidth="1"/>
    <col min="5890" max="5890" width="12.625" bestFit="1" customWidth="1"/>
    <col min="6145" max="6145" width="23.375" customWidth="1"/>
    <col min="6146" max="6146" width="12.625" bestFit="1" customWidth="1"/>
    <col min="6401" max="6401" width="23.375" customWidth="1"/>
    <col min="6402" max="6402" width="12.625" bestFit="1" customWidth="1"/>
    <col min="6657" max="6657" width="23.375" customWidth="1"/>
    <col min="6658" max="6658" width="12.625" bestFit="1" customWidth="1"/>
    <col min="6913" max="6913" width="23.375" customWidth="1"/>
    <col min="6914" max="6914" width="12.625" bestFit="1" customWidth="1"/>
    <col min="7169" max="7169" width="23.375" customWidth="1"/>
    <col min="7170" max="7170" width="12.625" bestFit="1" customWidth="1"/>
    <col min="7425" max="7425" width="23.375" customWidth="1"/>
    <col min="7426" max="7426" width="12.625" bestFit="1" customWidth="1"/>
    <col min="7681" max="7681" width="23.375" customWidth="1"/>
    <col min="7682" max="7682" width="12.625" bestFit="1" customWidth="1"/>
    <col min="7937" max="7937" width="23.375" customWidth="1"/>
    <col min="7938" max="7938" width="12.625" bestFit="1" customWidth="1"/>
    <col min="8193" max="8193" width="23.375" customWidth="1"/>
    <col min="8194" max="8194" width="12.625" bestFit="1" customWidth="1"/>
    <col min="8449" max="8449" width="23.375" customWidth="1"/>
    <col min="8450" max="8450" width="12.625" bestFit="1" customWidth="1"/>
    <col min="8705" max="8705" width="23.375" customWidth="1"/>
    <col min="8706" max="8706" width="12.625" bestFit="1" customWidth="1"/>
    <col min="8961" max="8961" width="23.375" customWidth="1"/>
    <col min="8962" max="8962" width="12.625" bestFit="1" customWidth="1"/>
    <col min="9217" max="9217" width="23.375" customWidth="1"/>
    <col min="9218" max="9218" width="12.625" bestFit="1" customWidth="1"/>
    <col min="9473" max="9473" width="23.375" customWidth="1"/>
    <col min="9474" max="9474" width="12.625" bestFit="1" customWidth="1"/>
    <col min="9729" max="9729" width="23.375" customWidth="1"/>
    <col min="9730" max="9730" width="12.625" bestFit="1" customWidth="1"/>
    <col min="9985" max="9985" width="23.375" customWidth="1"/>
    <col min="9986" max="9986" width="12.625" bestFit="1" customWidth="1"/>
    <col min="10241" max="10241" width="23.375" customWidth="1"/>
    <col min="10242" max="10242" width="12.625" bestFit="1" customWidth="1"/>
    <col min="10497" max="10497" width="23.375" customWidth="1"/>
    <col min="10498" max="10498" width="12.625" bestFit="1" customWidth="1"/>
    <col min="10753" max="10753" width="23.375" customWidth="1"/>
    <col min="10754" max="10754" width="12.625" bestFit="1" customWidth="1"/>
    <col min="11009" max="11009" width="23.375" customWidth="1"/>
    <col min="11010" max="11010" width="12.625" bestFit="1" customWidth="1"/>
    <col min="11265" max="11265" width="23.375" customWidth="1"/>
    <col min="11266" max="11266" width="12.625" bestFit="1" customWidth="1"/>
    <col min="11521" max="11521" width="23.375" customWidth="1"/>
    <col min="11522" max="11522" width="12.625" bestFit="1" customWidth="1"/>
    <col min="11777" max="11777" width="23.375" customWidth="1"/>
    <col min="11778" max="11778" width="12.625" bestFit="1" customWidth="1"/>
    <col min="12033" max="12033" width="23.375" customWidth="1"/>
    <col min="12034" max="12034" width="12.625" bestFit="1" customWidth="1"/>
    <col min="12289" max="12289" width="23.375" customWidth="1"/>
    <col min="12290" max="12290" width="12.625" bestFit="1" customWidth="1"/>
    <col min="12545" max="12545" width="23.375" customWidth="1"/>
    <col min="12546" max="12546" width="12.625" bestFit="1" customWidth="1"/>
    <col min="12801" max="12801" width="23.375" customWidth="1"/>
    <col min="12802" max="12802" width="12.625" bestFit="1" customWidth="1"/>
    <col min="13057" max="13057" width="23.375" customWidth="1"/>
    <col min="13058" max="13058" width="12.625" bestFit="1" customWidth="1"/>
    <col min="13313" max="13313" width="23.375" customWidth="1"/>
    <col min="13314" max="13314" width="12.625" bestFit="1" customWidth="1"/>
    <col min="13569" max="13569" width="23.375" customWidth="1"/>
    <col min="13570" max="13570" width="12.625" bestFit="1" customWidth="1"/>
    <col min="13825" max="13825" width="23.375" customWidth="1"/>
    <col min="13826" max="13826" width="12.625" bestFit="1" customWidth="1"/>
    <col min="14081" max="14081" width="23.375" customWidth="1"/>
    <col min="14082" max="14082" width="12.625" bestFit="1" customWidth="1"/>
    <col min="14337" max="14337" width="23.375" customWidth="1"/>
    <col min="14338" max="14338" width="12.625" bestFit="1" customWidth="1"/>
    <col min="14593" max="14593" width="23.375" customWidth="1"/>
    <col min="14594" max="14594" width="12.625" bestFit="1" customWidth="1"/>
    <col min="14849" max="14849" width="23.375" customWidth="1"/>
    <col min="14850" max="14850" width="12.625" bestFit="1" customWidth="1"/>
    <col min="15105" max="15105" width="23.375" customWidth="1"/>
    <col min="15106" max="15106" width="12.625" bestFit="1" customWidth="1"/>
    <col min="15361" max="15361" width="23.375" customWidth="1"/>
    <col min="15362" max="15362" width="12.625" bestFit="1" customWidth="1"/>
    <col min="15617" max="15617" width="23.375" customWidth="1"/>
    <col min="15618" max="15618" width="12.625" bestFit="1" customWidth="1"/>
    <col min="15873" max="15873" width="23.375" customWidth="1"/>
    <col min="15874" max="15874" width="12.625" bestFit="1" customWidth="1"/>
    <col min="16129" max="16129" width="23.375" customWidth="1"/>
    <col min="16130" max="16130" width="12.625" bestFit="1" customWidth="1"/>
  </cols>
  <sheetData>
    <row r="1" spans="1:8">
      <c r="A1" s="134" t="s">
        <v>193</v>
      </c>
    </row>
    <row r="2" spans="1:8">
      <c r="G2" s="115" t="s">
        <v>177</v>
      </c>
      <c r="H2" s="120">
        <v>0.3</v>
      </c>
    </row>
    <row r="3" spans="1:8">
      <c r="A3" t="s">
        <v>194</v>
      </c>
      <c r="B3" s="135">
        <f>'[1]Inputs and Outputs'!$D$29</f>
        <v>100000</v>
      </c>
      <c r="G3" s="92" t="s">
        <v>80</v>
      </c>
      <c r="H3" s="119">
        <v>132000</v>
      </c>
    </row>
    <row r="4" spans="1:8">
      <c r="B4" s="135"/>
      <c r="G4" s="115" t="s">
        <v>94</v>
      </c>
      <c r="H4" s="121">
        <f>'Inputs and Outputs'!I8+300</f>
        <v>3600</v>
      </c>
    </row>
    <row r="5" spans="1:8">
      <c r="A5" t="s">
        <v>195</v>
      </c>
      <c r="G5" s="92" t="s">
        <v>95</v>
      </c>
      <c r="H5" s="122">
        <f>'Inputs and Outputs'!I8-1200</f>
        <v>2100</v>
      </c>
    </row>
    <row r="6" spans="1:8">
      <c r="A6" s="136" t="s">
        <v>196</v>
      </c>
      <c r="B6" s="137">
        <f>'Inputs and Outputs'!D30</f>
        <v>30000</v>
      </c>
    </row>
    <row r="7" spans="1:8">
      <c r="A7" s="138" t="s">
        <v>197</v>
      </c>
      <c r="B7" s="139">
        <f>'Inputs and Outputs'!D32</f>
        <v>20000</v>
      </c>
    </row>
    <row r="8" spans="1:8">
      <c r="A8" s="140" t="s">
        <v>198</v>
      </c>
      <c r="B8" s="141">
        <f>'Inputs and Outputs'!D31</f>
        <v>50000</v>
      </c>
    </row>
    <row r="9" spans="1:8">
      <c r="A9" s="142" t="s">
        <v>199</v>
      </c>
      <c r="B9" s="143">
        <f>(B7+4*B6+B8)/6</f>
        <v>31666.666666666668</v>
      </c>
    </row>
    <row r="10" spans="1:8">
      <c r="A10" s="142" t="s">
        <v>200</v>
      </c>
      <c r="B10" s="143">
        <f>(B8-B7)/6</f>
        <v>5000</v>
      </c>
    </row>
    <row r="11" spans="1:8">
      <c r="A11" s="142" t="s">
        <v>201</v>
      </c>
      <c r="B11" s="143">
        <f>((B9-B7)/(B8-B7))*((((B9-B7)*(B8-B9))/(B10^2))-1)</f>
        <v>2.9382716049382718</v>
      </c>
    </row>
    <row r="12" spans="1:8">
      <c r="A12" s="142" t="s">
        <v>202</v>
      </c>
      <c r="B12" s="143">
        <f>((B8-B9)/(B9-B7))*B11</f>
        <v>4.6172839506172831</v>
      </c>
    </row>
    <row r="13" spans="1:8">
      <c r="A13" s="31"/>
      <c r="B13" s="144"/>
    </row>
    <row r="14" spans="1:8">
      <c r="A14" s="142" t="s">
        <v>203</v>
      </c>
      <c r="B14" s="145">
        <v>30000</v>
      </c>
    </row>
    <row r="16" spans="1:8">
      <c r="A16" t="s">
        <v>80</v>
      </c>
      <c r="B16" s="146">
        <f>B3+B14</f>
        <v>130000</v>
      </c>
    </row>
  </sheetData>
  <phoneticPr fontId="11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U171"/>
  <sheetViews>
    <sheetView zoomScale="90" zoomScaleNormal="90" zoomScalePageLayoutView="90" workbookViewId="0">
      <pane xSplit="6" ySplit="3" topLeftCell="AJ4" activePane="bottomRight" state="frozen"/>
      <selection pane="topRight" activeCell="D1" sqref="D1"/>
      <selection pane="bottomLeft" activeCell="A4" sqref="A4"/>
      <selection pane="bottomRight" activeCell="AT10" sqref="AT10"/>
    </sheetView>
  </sheetViews>
  <sheetFormatPr baseColWidth="10" defaultColWidth="8.625" defaultRowHeight="15"/>
  <cols>
    <col min="1" max="4" width="11.125" customWidth="1"/>
    <col min="6" max="6" width="19" style="34" bestFit="1" customWidth="1"/>
    <col min="7" max="7" width="19" style="34" customWidth="1"/>
    <col min="8" max="18" width="11.25" customWidth="1"/>
    <col min="20" max="20" width="11.125" customWidth="1"/>
    <col min="21" max="21" width="8.625" style="44"/>
    <col min="23" max="24" width="15.75" customWidth="1"/>
    <col min="27" max="27" width="10.125" bestFit="1" customWidth="1"/>
  </cols>
  <sheetData>
    <row r="1" spans="1:47">
      <c r="H1" s="39">
        <v>4</v>
      </c>
      <c r="I1" s="39">
        <v>2</v>
      </c>
      <c r="R1">
        <v>2</v>
      </c>
      <c r="AP1" t="s">
        <v>204</v>
      </c>
    </row>
    <row r="2" spans="1:47" ht="45">
      <c r="A2" s="37" t="s">
        <v>114</v>
      </c>
      <c r="B2" s="37" t="s">
        <v>115</v>
      </c>
      <c r="C2" s="86" t="s">
        <v>119</v>
      </c>
      <c r="D2" s="37" t="s">
        <v>118</v>
      </c>
      <c r="E2" s="85" t="s">
        <v>117</v>
      </c>
      <c r="F2" s="29" t="s">
        <v>92</v>
      </c>
      <c r="G2" s="29" t="s">
        <v>182</v>
      </c>
      <c r="H2" s="36" t="s">
        <v>116</v>
      </c>
      <c r="I2" s="36" t="s">
        <v>120</v>
      </c>
      <c r="J2" s="36" t="s">
        <v>81</v>
      </c>
      <c r="K2" s="36" t="s">
        <v>82</v>
      </c>
      <c r="L2" s="36" t="s">
        <v>96</v>
      </c>
      <c r="M2" s="36" t="s">
        <v>83</v>
      </c>
      <c r="N2" s="36" t="s">
        <v>84</v>
      </c>
      <c r="O2" s="36" t="s">
        <v>85</v>
      </c>
      <c r="P2" s="36" t="s">
        <v>88</v>
      </c>
      <c r="Q2" s="36" t="s">
        <v>86</v>
      </c>
      <c r="R2" s="87" t="s">
        <v>121</v>
      </c>
      <c r="T2" s="37" t="s">
        <v>20</v>
      </c>
      <c r="U2" s="41" t="s">
        <v>52</v>
      </c>
      <c r="V2" s="41" t="s">
        <v>97</v>
      </c>
      <c r="W2" s="41" t="s">
        <v>98</v>
      </c>
      <c r="X2" s="41"/>
      <c r="Y2" s="88">
        <v>1</v>
      </c>
      <c r="Z2" s="150" t="s">
        <v>123</v>
      </c>
      <c r="AA2" s="150"/>
      <c r="AB2" s="150"/>
      <c r="AC2" s="150"/>
      <c r="AD2" s="150"/>
      <c r="AE2" s="150"/>
      <c r="AG2" s="88">
        <v>2</v>
      </c>
      <c r="AH2" s="150" t="s">
        <v>129</v>
      </c>
      <c r="AI2" s="150"/>
      <c r="AJ2" s="150"/>
      <c r="AK2" s="150"/>
      <c r="AL2" s="150"/>
      <c r="AM2" s="150"/>
      <c r="AO2" s="88">
        <v>3</v>
      </c>
      <c r="AP2" s="150" t="s">
        <v>130</v>
      </c>
      <c r="AQ2" s="150"/>
      <c r="AR2" s="150"/>
      <c r="AS2" s="150"/>
      <c r="AT2" s="150"/>
      <c r="AU2" s="150"/>
    </row>
    <row r="3" spans="1:47">
      <c r="A3" s="37"/>
      <c r="B3" s="37"/>
      <c r="C3" s="37"/>
      <c r="D3" s="37"/>
      <c r="F3" s="30" t="s">
        <v>122</v>
      </c>
      <c r="G3" s="30"/>
      <c r="J3">
        <v>1</v>
      </c>
      <c r="K3">
        <v>1</v>
      </c>
      <c r="L3">
        <f>IF('Inputs and Outputs'!D38="Yes",1,0)</f>
        <v>1</v>
      </c>
      <c r="M3">
        <f>IF('Inputs and Outputs'!D39="Yes",1,0)</f>
        <v>1</v>
      </c>
      <c r="N3">
        <f>IF('Inputs and Outputs'!D40="Yes",1,0)</f>
        <v>1</v>
      </c>
      <c r="O3">
        <f>IF('Inputs and Outputs'!D41="Yes",1,0)</f>
        <v>1</v>
      </c>
      <c r="P3">
        <f>IF('Inputs and Outputs'!D42="Yes",1,0)</f>
        <v>1</v>
      </c>
      <c r="Q3">
        <f>IF('Inputs and Outputs'!D43="Yes",1,0)</f>
        <v>1</v>
      </c>
      <c r="T3" s="37"/>
      <c r="U3" s="43"/>
      <c r="V3" s="42"/>
      <c r="Y3" s="84" t="s">
        <v>124</v>
      </c>
      <c r="Z3" s="84"/>
      <c r="AA3" s="84" t="s">
        <v>115</v>
      </c>
      <c r="AB3" s="84" t="s">
        <v>125</v>
      </c>
      <c r="AC3" s="84" t="s">
        <v>126</v>
      </c>
      <c r="AD3" s="84" t="s">
        <v>127</v>
      </c>
      <c r="AE3" s="84" t="s">
        <v>128</v>
      </c>
      <c r="AG3" s="84" t="s">
        <v>124</v>
      </c>
      <c r="AH3" s="84"/>
      <c r="AI3" s="84" t="s">
        <v>115</v>
      </c>
      <c r="AJ3" s="84" t="s">
        <v>125</v>
      </c>
      <c r="AK3" s="84" t="s">
        <v>126</v>
      </c>
      <c r="AL3" s="84" t="s">
        <v>127</v>
      </c>
      <c r="AM3" s="84" t="s">
        <v>128</v>
      </c>
      <c r="AO3" s="84" t="s">
        <v>124</v>
      </c>
      <c r="AP3" s="84"/>
      <c r="AQ3" s="84" t="s">
        <v>115</v>
      </c>
      <c r="AR3" s="84" t="s">
        <v>125</v>
      </c>
      <c r="AS3" s="84" t="s">
        <v>126</v>
      </c>
      <c r="AT3" s="84" t="s">
        <v>127</v>
      </c>
      <c r="AU3" s="84" t="s">
        <v>128</v>
      </c>
    </row>
    <row r="4" spans="1:47">
      <c r="A4" s="38">
        <v>1</v>
      </c>
      <c r="B4" s="38" t="str">
        <f t="shared" ref="B4:B35" si="0">CONCATENATE(F4,A4)</f>
        <v>Chelsea1</v>
      </c>
      <c r="C4" s="38">
        <f ca="1">IF(F4='Inputs and Outputs'!$H$11,1,IF(F4='Inputs and Outputs'!$H$17,2,IF(F4='Inputs and Outputs'!$H$23,3,0)))</f>
        <v>2</v>
      </c>
      <c r="D4" s="38" t="str">
        <f ca="1">IF(C4=$Y$2,VLOOKUP(B4,$AA$4:$AE$23,5,0),IF(C4=$AG$2,VLOOKUP(B4,$AI$4:$AM$23,5,0),IF(C4=$AO$2,VLOOKUP(B4,$AQ$4:$AU$23,5,0))))</f>
        <v>Chelsea1</v>
      </c>
      <c r="E4">
        <f>'Apartment Listings'!B4</f>
        <v>1</v>
      </c>
      <c r="F4" s="33" t="str">
        <f>'Apartment Listings'!C4</f>
        <v>Chelsea</v>
      </c>
      <c r="G4" s="33">
        <f>VLOOKUP(E4,'Apartment Listings'!B4:N153,13,0)</f>
        <v>24329</v>
      </c>
      <c r="H4" t="str">
        <f>IF(AND('Apartment Listings'!D4&gt;'Financial Worksheet'!$H$5,'Apartment Listings'!D4&lt;'Financial Worksheet'!$H$4),"Y","N")</f>
        <v>Y</v>
      </c>
      <c r="I4">
        <f>IF('Inputs and Outputs'!$I$8='Apartment Listings'!D4,'Apartment Scores'!$I$1,0)</f>
        <v>0</v>
      </c>
      <c r="J4">
        <f>IF('Apartment Listings'!F4&gt;='Inputs and Outputs'!$D$36,1,0)</f>
        <v>0</v>
      </c>
      <c r="K4">
        <f>IF('Apartment Listings'!G4&gt;='Inputs and Outputs'!$D$37,1,0)</f>
        <v>1</v>
      </c>
      <c r="L4">
        <f>IF('Apartment Listings'!H4='Inputs and Outputs'!$D$38,1,0)</f>
        <v>1</v>
      </c>
      <c r="M4">
        <f>IF('Apartment Listings'!I4='Inputs and Outputs'!$D$39,1,0)</f>
        <v>1</v>
      </c>
      <c r="N4">
        <f>IF('Apartment Listings'!J4='Inputs and Outputs'!$D$40,1,0)</f>
        <v>1</v>
      </c>
      <c r="O4">
        <f>IF('Apartment Listings'!K4='Inputs and Outputs'!$D$41,1,0)</f>
        <v>1</v>
      </c>
      <c r="P4">
        <f>IF('Apartment Listings'!L4='Inputs and Outputs'!$D$42,1,0)</f>
        <v>0</v>
      </c>
      <c r="Q4">
        <f>IF('Apartment Listings'!M4='Inputs and Outputs'!$D$43,1,0)</f>
        <v>1</v>
      </c>
      <c r="R4">
        <f>IF($J$3=J4,IF($K$3=K4,IF($L$3=L4,IF($M$3=M4,IF($N$3=N4,IF($O$3=O4,IF($P$3=P4,IF($Q$3=Q4,$R$1,0),0),0),0),0),0),0),0)</f>
        <v>0</v>
      </c>
      <c r="T4" s="38">
        <f>SUM(I4:R4)+IF(H4="Y",$H$1,-3)</f>
        <v>10</v>
      </c>
      <c r="U4" s="44">
        <f>RANK(T4,$T$4:$T$153)</f>
        <v>11</v>
      </c>
      <c r="V4" s="22"/>
      <c r="W4" t="str">
        <f t="shared" ref="W4:W35" si="1">CONCATENATE(F4,U4)</f>
        <v>Chelsea11</v>
      </c>
      <c r="Y4">
        <v>1</v>
      </c>
      <c r="Z4" t="str">
        <f ca="1">'Inputs and Outputs'!$H$11</f>
        <v>Flatiron</v>
      </c>
      <c r="AA4" t="str">
        <f ca="1">CONCATENATE(Z4,Y4)</f>
        <v>Flatiron1</v>
      </c>
      <c r="AB4">
        <f ca="1">IFERROR(IF(VLOOKUP($AA4,$B$4:$H$153,7,0)="N",100000,VLOOKUP($AA4,$B$4:$U$153,20,0)),100000)</f>
        <v>100000</v>
      </c>
      <c r="AC4">
        <f ca="1">RANK(AB4,$AB$4:$AB$23,1)</f>
        <v>3</v>
      </c>
      <c r="AD4">
        <f ca="1">IF(COUNTIF($AC$3:AC3,AC4)&gt;0,COUNTIF($AC$3:AC3,AC4)+AC4,AC4)</f>
        <v>3</v>
      </c>
      <c r="AE4" t="str">
        <f ca="1">CONCATENATE(Z4,AD4)</f>
        <v>Flatiron3</v>
      </c>
      <c r="AG4">
        <v>1</v>
      </c>
      <c r="AH4" t="str">
        <f ca="1">'Inputs and Outputs'!$H$17</f>
        <v>Chelsea</v>
      </c>
      <c r="AI4" t="str">
        <f ca="1">CONCATENATE(AH4,AG4)</f>
        <v>Chelsea1</v>
      </c>
      <c r="AJ4">
        <f ca="1">IFERROR(IF(VLOOKUP($AI4,$B$4:$H$153,7,0)="N",100000,VLOOKUP($AI4,$B$4:$U$153,20,0)),100000)</f>
        <v>11</v>
      </c>
      <c r="AK4">
        <f ca="1">RANK(AJ4,$AJ$4:$AJ$23,1)</f>
        <v>1</v>
      </c>
      <c r="AL4">
        <f ca="1">IF(COUNTIF($AK$3:AK3,AK4)&gt;0,COUNTIF($AK$3:AK3,AK4)+AK4,AK4)</f>
        <v>1</v>
      </c>
      <c r="AM4" t="str">
        <f ca="1">CONCATENATE(AH4,AL4)</f>
        <v>Chelsea1</v>
      </c>
      <c r="AO4">
        <v>1</v>
      </c>
      <c r="AP4" t="str">
        <f ca="1">'Inputs and Outputs'!H23</f>
        <v>Soho</v>
      </c>
      <c r="AQ4" t="str">
        <f ca="1">CONCATENATE(AP4,AO4)</f>
        <v>Soho1</v>
      </c>
      <c r="AR4">
        <f ca="1">IFERROR(IF(VLOOKUP($AQ4,$B$4:$U$153,7,0)="N",100000,VLOOKUP($AQ4,$B$4:$U$153,20,0)),100000)</f>
        <v>92</v>
      </c>
      <c r="AS4">
        <f ca="1">RANK(AR4,$AR$4:$AR$23,1)</f>
        <v>3</v>
      </c>
      <c r="AT4">
        <f ca="1">IF(COUNTIF($AS$3:AS3,AS4)&gt;0,COUNTIF($AS$3:AS3,AS4)+AS4,AS4)</f>
        <v>3</v>
      </c>
      <c r="AU4" t="str">
        <f ca="1">CONCATENATE(AP4,AT4)</f>
        <v>Soho3</v>
      </c>
    </row>
    <row r="5" spans="1:47">
      <c r="A5" s="38">
        <f t="shared" ref="A5:A36" si="2">IF(F5=F4,A4+1,1)</f>
        <v>2</v>
      </c>
      <c r="B5" s="38" t="str">
        <f t="shared" si="0"/>
        <v>Chelsea2</v>
      </c>
      <c r="C5" s="38">
        <f ca="1">IF(F5='Inputs and Outputs'!$H$11,1,IF(F5='Inputs and Outputs'!$H$17,2,IF(F5='Inputs and Outputs'!$H$23,3,0)))</f>
        <v>2</v>
      </c>
      <c r="D5" s="38" t="str">
        <f t="shared" ref="D5:D68" ca="1" si="3">IF(C5=$Y$2,VLOOKUP(B5,$AA$4:$AE$23,5,0),IF(C5=$AG$2,VLOOKUP(B5,$AI$4:$AM$23,5,0),IF(C5=$AO$2,VLOOKUP(B5,$AQ$4:$AU$23,5,0))))</f>
        <v>Chelsea6</v>
      </c>
      <c r="E5">
        <f>'Apartment Listings'!B5</f>
        <v>2</v>
      </c>
      <c r="F5" s="33" t="str">
        <f>'Apartment Listings'!C5</f>
        <v>Chelsea</v>
      </c>
      <c r="G5" s="33">
        <f>VLOOKUP(E5,'Apartment Listings'!B5:N154,13,0)</f>
        <v>70916</v>
      </c>
      <c r="H5" t="str">
        <f>IF(AND('Apartment Listings'!D5&gt;'Financial Worksheet'!$H$5,'Apartment Listings'!D5&lt;'Financial Worksheet'!$H$4),"Y","N")</f>
        <v>N</v>
      </c>
      <c r="I5">
        <f>IF('Inputs and Outputs'!$I$8='Apartment Listings'!D5,'Apartment Scores'!$I$1,0)</f>
        <v>0</v>
      </c>
      <c r="J5">
        <f>IF('Apartment Listings'!F5&gt;='Inputs and Outputs'!$D$36,1,0)</f>
        <v>1</v>
      </c>
      <c r="K5">
        <f>IF('Apartment Listings'!G5&gt;='Inputs and Outputs'!$D$37,1,0)</f>
        <v>1</v>
      </c>
      <c r="L5">
        <f>IF('Apartment Listings'!H5='Inputs and Outputs'!$D$38,1,0)</f>
        <v>1</v>
      </c>
      <c r="M5">
        <f>IF('Apartment Listings'!I5='Inputs and Outputs'!$D$39,1,0)</f>
        <v>0</v>
      </c>
      <c r="N5">
        <f>IF('Apartment Listings'!J5='Inputs and Outputs'!$D$40,1,0)</f>
        <v>0</v>
      </c>
      <c r="O5">
        <f>IF('Apartment Listings'!K5='Inputs and Outputs'!$D$41,1,0)</f>
        <v>0</v>
      </c>
      <c r="P5">
        <f>IF('Apartment Listings'!L5='Inputs and Outputs'!$D$42,1,0)</f>
        <v>1</v>
      </c>
      <c r="Q5">
        <f>IF('Apartment Listings'!M5='Inputs and Outputs'!$D$43,1,0)</f>
        <v>0</v>
      </c>
      <c r="R5">
        <f t="shared" ref="R5:R68" si="4">IF($J$3=J5,IF($K$3=K5,IF($L$3=L5,IF($M$3=M5,IF($N$3=N5,IF($O$3=O5,IF($P$3=P5,IF($Q$3=Q5,$R$1,0),0),0),0),0),0),0),0)</f>
        <v>0</v>
      </c>
      <c r="T5" s="38">
        <f t="shared" ref="T5:T68" si="5">SUM(I5:R5)+IF(H5="Y",$H$1,-3)</f>
        <v>1</v>
      </c>
      <c r="U5" s="44">
        <f t="shared" ref="U5:U68" si="6">RANK(T5,$T$4:$T$153)</f>
        <v>123</v>
      </c>
      <c r="V5" s="22"/>
      <c r="W5" t="str">
        <f t="shared" si="1"/>
        <v>Chelsea123</v>
      </c>
      <c r="Y5">
        <f>Y4+1</f>
        <v>2</v>
      </c>
      <c r="Z5" t="str">
        <f ca="1">Z4</f>
        <v>Flatiron</v>
      </c>
      <c r="AA5" t="str">
        <f t="shared" ref="AA5:AA23" ca="1" si="7">CONCATENATE(Z5,Y5)</f>
        <v>Flatiron2</v>
      </c>
      <c r="AB5">
        <f t="shared" ref="AB5:AB23" ca="1" si="8">IFERROR(IF(VLOOKUP($AA5,$B$4:$H$153,7,0)="N",100000,VLOOKUP($AA5,$B$4:$U$153,20,0)),100000)</f>
        <v>100000</v>
      </c>
      <c r="AC5">
        <f t="shared" ref="AC5:AC23" ca="1" si="9">RANK(AB5,$AB$4:$AB$23,1)</f>
        <v>3</v>
      </c>
      <c r="AD5">
        <f ca="1">IF(COUNTIF($AC$3:AC4,AC5)&gt;0,COUNTIF($AC$3:AC4,AC5)+AC5,AC5)</f>
        <v>4</v>
      </c>
      <c r="AE5" t="str">
        <f t="shared" ref="AE5:AE23" ca="1" si="10">CONCATENATE(Z5,AD5)</f>
        <v>Flatiron4</v>
      </c>
      <c r="AG5">
        <f>AG4+1</f>
        <v>2</v>
      </c>
      <c r="AH5" t="str">
        <f ca="1">AH4</f>
        <v>Chelsea</v>
      </c>
      <c r="AI5" t="str">
        <f t="shared" ref="AI5:AI23" ca="1" si="11">CONCATENATE(AH5,AG5)</f>
        <v>Chelsea2</v>
      </c>
      <c r="AJ5">
        <f t="shared" ref="AJ5:AJ23" ca="1" si="12">IFERROR(IF(VLOOKUP($AI5,$B$4:$H$153,7,0)="N",100000,VLOOKUP($AI5,$B$4:$U$153,20,0)),100000)</f>
        <v>100000</v>
      </c>
      <c r="AK5">
        <f t="shared" ref="AK5:AK23" ca="1" si="13">RANK(AJ5,$AJ$4:$AJ$23,1)</f>
        <v>6</v>
      </c>
      <c r="AL5">
        <f ca="1">IF(COUNTIF($AK$3:AK4,AK5)&gt;0,COUNTIF($AK$3:AK4,AK5)+AK5,AK5)</f>
        <v>6</v>
      </c>
      <c r="AM5" t="str">
        <f t="shared" ref="AM5:AM23" ca="1" si="14">CONCATENATE(AH5,AL5)</f>
        <v>Chelsea6</v>
      </c>
      <c r="AO5">
        <f>AO4+1</f>
        <v>2</v>
      </c>
      <c r="AP5" t="str">
        <f ca="1">AP4</f>
        <v>Soho</v>
      </c>
      <c r="AQ5" t="str">
        <f t="shared" ref="AQ5:AQ23" ca="1" si="15">CONCATENATE(AP5,AO5)</f>
        <v>Soho2</v>
      </c>
      <c r="AR5">
        <f t="shared" ref="AR5:AR23" ca="1" si="16">IFERROR(IF(VLOOKUP($AQ5,$B$4:$U$153,7,0)="N",100000,VLOOKUP($AQ5,$B$4:$U$153,20,0)),100000)</f>
        <v>61</v>
      </c>
      <c r="AS5">
        <f t="shared" ref="AS5:AS23" ca="1" si="17">RANK(AR5,$AR$4:$AR$23,1)</f>
        <v>1</v>
      </c>
      <c r="AT5">
        <f ca="1">IF(COUNTIF($AS$3:AS4,AS5)&gt;0,COUNTIF($AS$3:AS4,AS5)+AS5,AS5)</f>
        <v>1</v>
      </c>
      <c r="AU5" t="str">
        <f t="shared" ref="AU5:AU23" ca="1" si="18">CONCATENATE(AP5,AT5)</f>
        <v>Soho1</v>
      </c>
    </row>
    <row r="6" spans="1:47">
      <c r="A6" s="38">
        <f t="shared" si="2"/>
        <v>3</v>
      </c>
      <c r="B6" s="38" t="str">
        <f t="shared" si="0"/>
        <v>Chelsea3</v>
      </c>
      <c r="C6" s="38">
        <f ca="1">IF(F6='Inputs and Outputs'!$H$11,1,IF(F6='Inputs and Outputs'!$H$17,2,IF(F6='Inputs and Outputs'!$H$23,3,0)))</f>
        <v>2</v>
      </c>
      <c r="D6" s="38" t="str">
        <f t="shared" ca="1" si="3"/>
        <v>Chelsea5</v>
      </c>
      <c r="E6">
        <f>'Apartment Listings'!B6</f>
        <v>3</v>
      </c>
      <c r="F6" s="33" t="str">
        <f>'Apartment Listings'!C6</f>
        <v>Chelsea</v>
      </c>
      <c r="G6" s="33">
        <f>VLOOKUP(E6,'Apartment Listings'!B6:N155,13,0)</f>
        <v>84136</v>
      </c>
      <c r="H6" t="str">
        <f>IF(AND('Apartment Listings'!D6&gt;'Financial Worksheet'!$H$5,'Apartment Listings'!D6&lt;'Financial Worksheet'!$H$4),"Y","N")</f>
        <v>Y</v>
      </c>
      <c r="I6">
        <f>IF('Inputs and Outputs'!$I$8='Apartment Listings'!D6,'Apartment Scores'!$I$1,0)</f>
        <v>0</v>
      </c>
      <c r="J6">
        <f>IF('Apartment Listings'!F6&gt;='Inputs and Outputs'!$D$36,1,0)</f>
        <v>0</v>
      </c>
      <c r="K6">
        <f>IF('Apartment Listings'!G6&gt;='Inputs and Outputs'!$D$37,1,0)</f>
        <v>1</v>
      </c>
      <c r="L6">
        <f>IF('Apartment Listings'!H6='Inputs and Outputs'!$D$38,1,0)</f>
        <v>0</v>
      </c>
      <c r="M6">
        <f>IF('Apartment Listings'!I6='Inputs and Outputs'!$D$39,1,0)</f>
        <v>0</v>
      </c>
      <c r="N6">
        <f>IF('Apartment Listings'!J6='Inputs and Outputs'!$D$40,1,0)</f>
        <v>0</v>
      </c>
      <c r="O6">
        <f>IF('Apartment Listings'!K6='Inputs and Outputs'!$D$41,1,0)</f>
        <v>0</v>
      </c>
      <c r="P6">
        <f>IF('Apartment Listings'!L6='Inputs and Outputs'!$D$42,1,0)</f>
        <v>0</v>
      </c>
      <c r="Q6">
        <f>IF('Apartment Listings'!M6='Inputs and Outputs'!$D$43,1,0)</f>
        <v>0</v>
      </c>
      <c r="R6">
        <f t="shared" si="4"/>
        <v>0</v>
      </c>
      <c r="T6" s="38">
        <f t="shared" si="5"/>
        <v>5</v>
      </c>
      <c r="U6" s="44">
        <f t="shared" si="6"/>
        <v>92</v>
      </c>
      <c r="V6" s="22"/>
      <c r="W6" t="str">
        <f t="shared" si="1"/>
        <v>Chelsea92</v>
      </c>
      <c r="Y6">
        <f t="shared" ref="Y6:Y23" si="19">Y5+1</f>
        <v>3</v>
      </c>
      <c r="Z6" t="str">
        <f t="shared" ref="Z6:Z23" ca="1" si="20">Z5</f>
        <v>Flatiron</v>
      </c>
      <c r="AA6" t="str">
        <f t="shared" ca="1" si="7"/>
        <v>Flatiron3</v>
      </c>
      <c r="AB6">
        <f t="shared" ca="1" si="8"/>
        <v>79</v>
      </c>
      <c r="AC6">
        <f t="shared" ca="1" si="9"/>
        <v>2</v>
      </c>
      <c r="AD6">
        <f ca="1">IF(COUNTIF($AC$3:AC5,AC6)&gt;0,COUNTIF($AC$3:AC5,AC6)+AC6,AC6)</f>
        <v>2</v>
      </c>
      <c r="AE6" t="str">
        <f t="shared" ca="1" si="10"/>
        <v>Flatiron2</v>
      </c>
      <c r="AG6">
        <f t="shared" ref="AG6:AG23" si="21">AG5+1</f>
        <v>3</v>
      </c>
      <c r="AH6" t="str">
        <f t="shared" ref="AH6:AH23" ca="1" si="22">AH5</f>
        <v>Chelsea</v>
      </c>
      <c r="AI6" t="str">
        <f t="shared" ca="1" si="11"/>
        <v>Chelsea3</v>
      </c>
      <c r="AJ6">
        <f t="shared" ca="1" si="12"/>
        <v>92</v>
      </c>
      <c r="AK6">
        <f t="shared" ca="1" si="13"/>
        <v>5</v>
      </c>
      <c r="AL6">
        <f ca="1">IF(COUNTIF($AK$3:AK5,AK6)&gt;0,COUNTIF($AK$3:AK5,AK6)+AK6,AK6)</f>
        <v>5</v>
      </c>
      <c r="AM6" t="str">
        <f t="shared" ca="1" si="14"/>
        <v>Chelsea5</v>
      </c>
      <c r="AO6">
        <f t="shared" ref="AO6:AO23" si="23">AO5+1</f>
        <v>3</v>
      </c>
      <c r="AP6" t="str">
        <f t="shared" ref="AP6:AP23" ca="1" si="24">AP5</f>
        <v>Soho</v>
      </c>
      <c r="AQ6" t="str">
        <f t="shared" ca="1" si="15"/>
        <v>Soho3</v>
      </c>
      <c r="AR6">
        <f t="shared" ca="1" si="16"/>
        <v>100000</v>
      </c>
      <c r="AS6">
        <f t="shared" ca="1" si="17"/>
        <v>4</v>
      </c>
      <c r="AT6">
        <f ca="1">IF(COUNTIF($AS$3:AS5,AS6)&gt;0,COUNTIF($AS$3:AS5,AS6)+AS6,AS6)</f>
        <v>4</v>
      </c>
      <c r="AU6" t="str">
        <f t="shared" ca="1" si="18"/>
        <v>Soho4</v>
      </c>
    </row>
    <row r="7" spans="1:47">
      <c r="A7" s="38">
        <f t="shared" si="2"/>
        <v>4</v>
      </c>
      <c r="B7" s="38" t="str">
        <f t="shared" si="0"/>
        <v>Chelsea4</v>
      </c>
      <c r="C7" s="38">
        <f ca="1">IF(F7='Inputs and Outputs'!$H$11,1,IF(F7='Inputs and Outputs'!$H$17,2,IF(F7='Inputs and Outputs'!$H$23,3,0)))</f>
        <v>2</v>
      </c>
      <c r="D7" s="38" t="str">
        <f t="shared" ca="1" si="3"/>
        <v>Chelsea2</v>
      </c>
      <c r="E7">
        <f>'Apartment Listings'!B7</f>
        <v>4</v>
      </c>
      <c r="F7" s="33" t="str">
        <f>'Apartment Listings'!C7</f>
        <v>Chelsea</v>
      </c>
      <c r="G7" s="33">
        <f>VLOOKUP(E7,'Apartment Listings'!B7:N156,13,0)</f>
        <v>81598</v>
      </c>
      <c r="H7" t="str">
        <f>IF(AND('Apartment Listings'!D7&gt;'Financial Worksheet'!$H$5,'Apartment Listings'!D7&lt;'Financial Worksheet'!$H$4),"Y","N")</f>
        <v>Y</v>
      </c>
      <c r="I7">
        <f>IF('Inputs and Outputs'!$I$8='Apartment Listings'!D7,'Apartment Scores'!$I$1,0)</f>
        <v>0</v>
      </c>
      <c r="J7">
        <f>IF('Apartment Listings'!F7&gt;='Inputs and Outputs'!$D$36,1,0)</f>
        <v>0</v>
      </c>
      <c r="K7">
        <f>IF('Apartment Listings'!G7&gt;='Inputs and Outputs'!$D$37,1,0)</f>
        <v>1</v>
      </c>
      <c r="L7">
        <f>IF('Apartment Listings'!H7='Inputs and Outputs'!$D$38,1,0)</f>
        <v>0</v>
      </c>
      <c r="M7">
        <f>IF('Apartment Listings'!I7='Inputs and Outputs'!$D$39,1,0)</f>
        <v>0</v>
      </c>
      <c r="N7">
        <f>IF('Apartment Listings'!J7='Inputs and Outputs'!$D$40,1,0)</f>
        <v>1</v>
      </c>
      <c r="O7">
        <f>IF('Apartment Listings'!K7='Inputs and Outputs'!$D$41,1,0)</f>
        <v>1</v>
      </c>
      <c r="P7">
        <f>IF('Apartment Listings'!L7='Inputs and Outputs'!$D$42,1,0)</f>
        <v>0</v>
      </c>
      <c r="Q7">
        <f>IF('Apartment Listings'!M7='Inputs and Outputs'!$D$43,1,0)</f>
        <v>0</v>
      </c>
      <c r="R7">
        <f t="shared" si="4"/>
        <v>0</v>
      </c>
      <c r="T7" s="38">
        <f t="shared" si="5"/>
        <v>7</v>
      </c>
      <c r="U7" s="44">
        <f t="shared" si="6"/>
        <v>61</v>
      </c>
      <c r="V7" s="22"/>
      <c r="W7" t="str">
        <f t="shared" si="1"/>
        <v>Chelsea61</v>
      </c>
      <c r="Y7">
        <f t="shared" si="19"/>
        <v>4</v>
      </c>
      <c r="Z7" t="str">
        <f t="shared" ca="1" si="20"/>
        <v>Flatiron</v>
      </c>
      <c r="AA7" t="str">
        <f t="shared" ca="1" si="7"/>
        <v>Flatiron4</v>
      </c>
      <c r="AB7">
        <f t="shared" ca="1" si="8"/>
        <v>48</v>
      </c>
      <c r="AC7">
        <f t="shared" ca="1" si="9"/>
        <v>1</v>
      </c>
      <c r="AD7">
        <f ca="1">IF(COUNTIF($AC$3:AC6,AC7)&gt;0,COUNTIF($AC$3:AC6,AC7)+AC7,AC7)</f>
        <v>1</v>
      </c>
      <c r="AE7" t="str">
        <f t="shared" ca="1" si="10"/>
        <v>Flatiron1</v>
      </c>
      <c r="AG7">
        <f t="shared" si="21"/>
        <v>4</v>
      </c>
      <c r="AH7" t="str">
        <f t="shared" ca="1" si="22"/>
        <v>Chelsea</v>
      </c>
      <c r="AI7" t="str">
        <f t="shared" ca="1" si="11"/>
        <v>Chelsea4</v>
      </c>
      <c r="AJ7">
        <f t="shared" ca="1" si="12"/>
        <v>61</v>
      </c>
      <c r="AK7">
        <f t="shared" ca="1" si="13"/>
        <v>2</v>
      </c>
      <c r="AL7">
        <f ca="1">IF(COUNTIF($AK$3:AK6,AK7)&gt;0,COUNTIF($AK$3:AK6,AK7)+AK7,AK7)</f>
        <v>2</v>
      </c>
      <c r="AM7" t="str">
        <f t="shared" ca="1" si="14"/>
        <v>Chelsea2</v>
      </c>
      <c r="AO7">
        <f t="shared" si="23"/>
        <v>4</v>
      </c>
      <c r="AP7" t="str">
        <f t="shared" ca="1" si="24"/>
        <v>Soho</v>
      </c>
      <c r="AQ7" t="str">
        <f t="shared" ca="1" si="15"/>
        <v>Soho4</v>
      </c>
      <c r="AR7">
        <f t="shared" ca="1" si="16"/>
        <v>79</v>
      </c>
      <c r="AS7">
        <f t="shared" ca="1" si="17"/>
        <v>2</v>
      </c>
      <c r="AT7">
        <f ca="1">IF(COUNTIF($AS$3:AS6,AS7)&gt;0,COUNTIF($AS$3:AS6,AS7)+AS7,AS7)</f>
        <v>2</v>
      </c>
      <c r="AU7" t="str">
        <f t="shared" ca="1" si="18"/>
        <v>Soho2</v>
      </c>
    </row>
    <row r="8" spans="1:47">
      <c r="A8" s="38">
        <f t="shared" si="2"/>
        <v>5</v>
      </c>
      <c r="B8" s="38" t="str">
        <f t="shared" si="0"/>
        <v>Chelsea5</v>
      </c>
      <c r="C8" s="38">
        <f ca="1">IF(F8='Inputs and Outputs'!$H$11,1,IF(F8='Inputs and Outputs'!$H$17,2,IF(F8='Inputs and Outputs'!$H$23,3,0)))</f>
        <v>2</v>
      </c>
      <c r="D8" s="38" t="str">
        <f ca="1">IF(C8=$Y$2,VLOOKUP(B8,$AA$4:$AE$23,5,0),IF(C8=$AG$2,VLOOKUP(B8,$AI$4:$AM$23,5,0),IF(C8=$AO$2,VLOOKUP(B8,$AQ$4:$AU$23,5,0))))</f>
        <v>Chelsea7</v>
      </c>
      <c r="E8">
        <f>'Apartment Listings'!B8</f>
        <v>5</v>
      </c>
      <c r="F8" s="33" t="str">
        <f>'Apartment Listings'!C8</f>
        <v>Chelsea</v>
      </c>
      <c r="G8" s="33">
        <f>VLOOKUP(E8,'Apartment Listings'!B8:N157,13,0)</f>
        <v>97172</v>
      </c>
      <c r="H8" t="str">
        <f>IF(AND('Apartment Listings'!D8&gt;'Financial Worksheet'!$H$5,'Apartment Listings'!D8&lt;'Financial Worksheet'!$H$4),"Y","N")</f>
        <v>N</v>
      </c>
      <c r="I8">
        <f>IF('Inputs and Outputs'!$I$8='Apartment Listings'!D8,'Apartment Scores'!$I$1,0)</f>
        <v>0</v>
      </c>
      <c r="J8">
        <f>IF('Apartment Listings'!F8&gt;='Inputs and Outputs'!$D$36,1,0)</f>
        <v>1</v>
      </c>
      <c r="K8">
        <f>IF('Apartment Listings'!G8&gt;='Inputs and Outputs'!$D$37,1,0)</f>
        <v>1</v>
      </c>
      <c r="L8">
        <f>IF('Apartment Listings'!H8='Inputs and Outputs'!$D$38,1,0)</f>
        <v>1</v>
      </c>
      <c r="M8">
        <f>IF('Apartment Listings'!I8='Inputs and Outputs'!$D$39,1,0)</f>
        <v>1</v>
      </c>
      <c r="N8">
        <f>IF('Apartment Listings'!J8='Inputs and Outputs'!$D$40,1,0)</f>
        <v>1</v>
      </c>
      <c r="O8">
        <f>IF('Apartment Listings'!K8='Inputs and Outputs'!$D$41,1,0)</f>
        <v>1</v>
      </c>
      <c r="P8">
        <f>IF('Apartment Listings'!L8='Inputs and Outputs'!$D$42,1,0)</f>
        <v>0</v>
      </c>
      <c r="Q8">
        <f>IF('Apartment Listings'!M8='Inputs and Outputs'!$D$43,1,0)</f>
        <v>1</v>
      </c>
      <c r="R8">
        <f t="shared" si="4"/>
        <v>0</v>
      </c>
      <c r="T8" s="38">
        <f t="shared" si="5"/>
        <v>4</v>
      </c>
      <c r="U8" s="44">
        <f t="shared" si="6"/>
        <v>99</v>
      </c>
      <c r="V8" s="22"/>
      <c r="W8" t="str">
        <f t="shared" si="1"/>
        <v>Chelsea99</v>
      </c>
      <c r="Y8">
        <f t="shared" si="19"/>
        <v>5</v>
      </c>
      <c r="Z8" t="str">
        <f t="shared" ca="1" si="20"/>
        <v>Flatiron</v>
      </c>
      <c r="AA8" t="str">
        <f t="shared" ca="1" si="7"/>
        <v>Flatiron5</v>
      </c>
      <c r="AB8">
        <f t="shared" ca="1" si="8"/>
        <v>100000</v>
      </c>
      <c r="AC8">
        <f t="shared" ca="1" si="9"/>
        <v>3</v>
      </c>
      <c r="AD8">
        <f ca="1">IF(COUNTIF($AC$3:AC7,AC8)&gt;0,COUNTIF($AC$3:AC7,AC8)+AC8,AC8)</f>
        <v>5</v>
      </c>
      <c r="AE8" t="str">
        <f t="shared" ca="1" si="10"/>
        <v>Flatiron5</v>
      </c>
      <c r="AG8">
        <f t="shared" si="21"/>
        <v>5</v>
      </c>
      <c r="AH8" t="str">
        <f t="shared" ca="1" si="22"/>
        <v>Chelsea</v>
      </c>
      <c r="AI8" t="str">
        <f t="shared" ca="1" si="11"/>
        <v>Chelsea5</v>
      </c>
      <c r="AJ8">
        <f t="shared" ca="1" si="12"/>
        <v>100000</v>
      </c>
      <c r="AK8">
        <f t="shared" ca="1" si="13"/>
        <v>6</v>
      </c>
      <c r="AL8">
        <f ca="1">IF(COUNTIF($AK$3:AK7,AK8)&gt;0,COUNTIF($AK$3:AK7,AK8)+AK8,AK8)</f>
        <v>7</v>
      </c>
      <c r="AM8" t="str">
        <f t="shared" ca="1" si="14"/>
        <v>Chelsea7</v>
      </c>
      <c r="AO8">
        <f t="shared" si="23"/>
        <v>5</v>
      </c>
      <c r="AP8" t="str">
        <f t="shared" ca="1" si="24"/>
        <v>Soho</v>
      </c>
      <c r="AQ8" t="str">
        <f t="shared" ca="1" si="15"/>
        <v>Soho5</v>
      </c>
      <c r="AR8">
        <f t="shared" ca="1" si="16"/>
        <v>100000</v>
      </c>
      <c r="AS8">
        <f t="shared" ca="1" si="17"/>
        <v>4</v>
      </c>
      <c r="AT8">
        <f ca="1">IF(COUNTIF($AS$3:AS7,AS8)&gt;0,COUNTIF($AS$3:AS7,AS8)+AS8,AS8)</f>
        <v>5</v>
      </c>
      <c r="AU8" t="str">
        <f t="shared" ca="1" si="18"/>
        <v>Soho5</v>
      </c>
    </row>
    <row r="9" spans="1:47">
      <c r="A9" s="38">
        <f t="shared" si="2"/>
        <v>6</v>
      </c>
      <c r="B9" s="38" t="str">
        <f t="shared" si="0"/>
        <v>Chelsea6</v>
      </c>
      <c r="C9" s="38">
        <f ca="1">IF(F9='Inputs and Outputs'!$H$11,1,IF(F9='Inputs and Outputs'!$H$17,2,IF(F9='Inputs and Outputs'!$H$23,3,0)))</f>
        <v>2</v>
      </c>
      <c r="D9" s="38" t="str">
        <f t="shared" ca="1" si="3"/>
        <v>Chelsea4</v>
      </c>
      <c r="E9">
        <f>'Apartment Listings'!B9</f>
        <v>6</v>
      </c>
      <c r="F9" s="33" t="str">
        <f>'Apartment Listings'!C9</f>
        <v>Chelsea</v>
      </c>
      <c r="G9" s="33">
        <f>VLOOKUP(E9,'Apartment Listings'!B9:N158,13,0)</f>
        <v>79273</v>
      </c>
      <c r="H9" t="str">
        <f>IF(AND('Apartment Listings'!D9&gt;'Financial Worksheet'!$H$5,'Apartment Listings'!D9&lt;'Financial Worksheet'!$H$4),"Y","N")</f>
        <v>Y</v>
      </c>
      <c r="I9">
        <f>IF('Inputs and Outputs'!$I$8='Apartment Listings'!D9,'Apartment Scores'!$I$1,0)</f>
        <v>0</v>
      </c>
      <c r="J9">
        <f>IF('Apartment Listings'!F9&gt;='Inputs and Outputs'!$D$36,1,0)</f>
        <v>0</v>
      </c>
      <c r="K9">
        <f>IF('Apartment Listings'!G9&gt;='Inputs and Outputs'!$D$37,1,0)</f>
        <v>1</v>
      </c>
      <c r="L9">
        <f>IF('Apartment Listings'!H9='Inputs and Outputs'!$D$38,1,0)</f>
        <v>0</v>
      </c>
      <c r="M9">
        <f>IF('Apartment Listings'!I9='Inputs and Outputs'!$D$39,1,0)</f>
        <v>0</v>
      </c>
      <c r="N9">
        <f>IF('Apartment Listings'!J9='Inputs and Outputs'!$D$40,1,0)</f>
        <v>0</v>
      </c>
      <c r="O9">
        <f>IF('Apartment Listings'!K9='Inputs and Outputs'!$D$41,1,0)</f>
        <v>0</v>
      </c>
      <c r="P9">
        <f>IF('Apartment Listings'!L9='Inputs and Outputs'!$D$42,1,0)</f>
        <v>1</v>
      </c>
      <c r="Q9">
        <f>IF('Apartment Listings'!M9='Inputs and Outputs'!$D$43,1,0)</f>
        <v>0</v>
      </c>
      <c r="R9">
        <f t="shared" si="4"/>
        <v>0</v>
      </c>
      <c r="T9" s="38">
        <f t="shared" si="5"/>
        <v>6</v>
      </c>
      <c r="U9" s="44">
        <f t="shared" si="6"/>
        <v>79</v>
      </c>
      <c r="V9" s="22"/>
      <c r="W9" t="str">
        <f t="shared" si="1"/>
        <v>Chelsea79</v>
      </c>
      <c r="Y9">
        <f t="shared" si="19"/>
        <v>6</v>
      </c>
      <c r="Z9" t="str">
        <f t="shared" ca="1" si="20"/>
        <v>Flatiron</v>
      </c>
      <c r="AA9" t="str">
        <f t="shared" ca="1" si="7"/>
        <v>Flatiron6</v>
      </c>
      <c r="AB9">
        <f t="shared" ca="1" si="8"/>
        <v>100000</v>
      </c>
      <c r="AC9">
        <f t="shared" ca="1" si="9"/>
        <v>3</v>
      </c>
      <c r="AD9">
        <f ca="1">IF(COUNTIF($AC$3:AC8,AC9)&gt;0,COUNTIF($AC$3:AC8,AC9)+AC9,AC9)</f>
        <v>6</v>
      </c>
      <c r="AE9" t="str">
        <f t="shared" ca="1" si="10"/>
        <v>Flatiron6</v>
      </c>
      <c r="AG9">
        <f t="shared" si="21"/>
        <v>6</v>
      </c>
      <c r="AH9" t="str">
        <f t="shared" ca="1" si="22"/>
        <v>Chelsea</v>
      </c>
      <c r="AI9" t="str">
        <f t="shared" ca="1" si="11"/>
        <v>Chelsea6</v>
      </c>
      <c r="AJ9">
        <f t="shared" ca="1" si="12"/>
        <v>79</v>
      </c>
      <c r="AK9">
        <f t="shared" ca="1" si="13"/>
        <v>4</v>
      </c>
      <c r="AL9">
        <f ca="1">IF(COUNTIF($AK$3:AK8,AK9)&gt;0,COUNTIF($AK$3:AK8,AK9)+AK9,AK9)</f>
        <v>4</v>
      </c>
      <c r="AM9" t="str">
        <f t="shared" ca="1" si="14"/>
        <v>Chelsea4</v>
      </c>
      <c r="AO9">
        <f t="shared" si="23"/>
        <v>6</v>
      </c>
      <c r="AP9" t="str">
        <f t="shared" ca="1" si="24"/>
        <v>Soho</v>
      </c>
      <c r="AQ9" t="str">
        <f t="shared" ca="1" si="15"/>
        <v>Soho6</v>
      </c>
      <c r="AR9">
        <f t="shared" ca="1" si="16"/>
        <v>100000</v>
      </c>
      <c r="AS9">
        <f t="shared" ca="1" si="17"/>
        <v>4</v>
      </c>
      <c r="AT9">
        <f ca="1">IF(COUNTIF($AS$3:AS8,AS9)&gt;0,COUNTIF($AS$3:AS8,AS9)+AS9,AS9)</f>
        <v>6</v>
      </c>
      <c r="AU9" t="str">
        <f t="shared" ca="1" si="18"/>
        <v>Soho6</v>
      </c>
    </row>
    <row r="10" spans="1:47">
      <c r="A10" s="38">
        <f t="shared" si="2"/>
        <v>7</v>
      </c>
      <c r="B10" s="38" t="str">
        <f t="shared" si="0"/>
        <v>Chelsea7</v>
      </c>
      <c r="C10" s="38">
        <f ca="1">IF(F10='Inputs and Outputs'!$H$11,1,IF(F10='Inputs and Outputs'!$H$17,2,IF(F10='Inputs and Outputs'!$H$23,3,0)))</f>
        <v>2</v>
      </c>
      <c r="D10" s="38" t="str">
        <f t="shared" ca="1" si="3"/>
        <v>Chelsea3</v>
      </c>
      <c r="E10">
        <f>'Apartment Listings'!B10</f>
        <v>7</v>
      </c>
      <c r="F10" s="33" t="str">
        <f>'Apartment Listings'!C10</f>
        <v>Chelsea</v>
      </c>
      <c r="G10" s="33">
        <f>VLOOKUP(E10,'Apartment Listings'!B10:N159,13,0)</f>
        <v>84939</v>
      </c>
      <c r="H10" t="str">
        <f>IF(AND('Apartment Listings'!D10&gt;'Financial Worksheet'!$H$5,'Apartment Listings'!D10&lt;'Financial Worksheet'!$H$4),"Y","N")</f>
        <v>Y</v>
      </c>
      <c r="I10">
        <f>IF('Inputs and Outputs'!$I$8='Apartment Listings'!D10,'Apartment Scores'!$I$1,0)</f>
        <v>0</v>
      </c>
      <c r="J10">
        <f>IF('Apartment Listings'!F10&gt;='Inputs and Outputs'!$D$36,1,0)</f>
        <v>0</v>
      </c>
      <c r="K10">
        <f>IF('Apartment Listings'!G10&gt;='Inputs and Outputs'!$D$37,1,0)</f>
        <v>1</v>
      </c>
      <c r="L10">
        <f>IF('Apartment Listings'!H10='Inputs and Outputs'!$D$38,1,0)</f>
        <v>0</v>
      </c>
      <c r="M10">
        <f>IF('Apartment Listings'!I10='Inputs and Outputs'!$D$39,1,0)</f>
        <v>1</v>
      </c>
      <c r="N10">
        <f>IF('Apartment Listings'!J10='Inputs and Outputs'!$D$40,1,0)</f>
        <v>0</v>
      </c>
      <c r="O10">
        <f>IF('Apartment Listings'!K10='Inputs and Outputs'!$D$41,1,0)</f>
        <v>0</v>
      </c>
      <c r="P10">
        <f>IF('Apartment Listings'!L10='Inputs and Outputs'!$D$42,1,0)</f>
        <v>1</v>
      </c>
      <c r="Q10">
        <f>IF('Apartment Listings'!M10='Inputs and Outputs'!$D$43,1,0)</f>
        <v>0</v>
      </c>
      <c r="R10">
        <f t="shared" si="4"/>
        <v>0</v>
      </c>
      <c r="T10" s="38">
        <f t="shared" si="5"/>
        <v>7</v>
      </c>
      <c r="U10" s="44">
        <f t="shared" si="6"/>
        <v>61</v>
      </c>
      <c r="V10" s="22"/>
      <c r="W10" t="str">
        <f t="shared" si="1"/>
        <v>Chelsea61</v>
      </c>
      <c r="Y10">
        <f t="shared" si="19"/>
        <v>7</v>
      </c>
      <c r="Z10" t="str">
        <f t="shared" ca="1" si="20"/>
        <v>Flatiron</v>
      </c>
      <c r="AA10" t="str">
        <f t="shared" ca="1" si="7"/>
        <v>Flatiron7</v>
      </c>
      <c r="AB10">
        <f t="shared" ca="1" si="8"/>
        <v>100000</v>
      </c>
      <c r="AC10">
        <f t="shared" ca="1" si="9"/>
        <v>3</v>
      </c>
      <c r="AD10">
        <f ca="1">IF(COUNTIF($AC$3:AC9,AC10)&gt;0,COUNTIF($AC$3:AC9,AC10)+AC10,AC10)</f>
        <v>7</v>
      </c>
      <c r="AE10" t="str">
        <f t="shared" ca="1" si="10"/>
        <v>Flatiron7</v>
      </c>
      <c r="AG10">
        <f t="shared" si="21"/>
        <v>7</v>
      </c>
      <c r="AH10" t="str">
        <f t="shared" ca="1" si="22"/>
        <v>Chelsea</v>
      </c>
      <c r="AI10" t="str">
        <f t="shared" ca="1" si="11"/>
        <v>Chelsea7</v>
      </c>
      <c r="AJ10">
        <f t="shared" ca="1" si="12"/>
        <v>61</v>
      </c>
      <c r="AK10">
        <f t="shared" ca="1" si="13"/>
        <v>2</v>
      </c>
      <c r="AL10">
        <f ca="1">IF(COUNTIF($AK$3:AK9,AK10)&gt;0,COUNTIF($AK$3:AK9,AK10)+AK10,AK10)</f>
        <v>3</v>
      </c>
      <c r="AM10" t="str">
        <f t="shared" ca="1" si="14"/>
        <v>Chelsea3</v>
      </c>
      <c r="AO10">
        <f t="shared" si="23"/>
        <v>7</v>
      </c>
      <c r="AP10" t="str">
        <f t="shared" ca="1" si="24"/>
        <v>Soho</v>
      </c>
      <c r="AQ10" t="str">
        <f t="shared" ca="1" si="15"/>
        <v>Soho7</v>
      </c>
      <c r="AR10">
        <f t="shared" ca="1" si="16"/>
        <v>100000</v>
      </c>
      <c r="AS10">
        <f t="shared" ca="1" si="17"/>
        <v>4</v>
      </c>
      <c r="AT10">
        <f ca="1">IF(COUNTIF($AS$3:AS9,AS10)&gt;0,COUNTIF($AS$3:AS9,AS10)+AS10,AS10)</f>
        <v>7</v>
      </c>
      <c r="AU10" t="str">
        <f t="shared" ca="1" si="18"/>
        <v>Soho7</v>
      </c>
    </row>
    <row r="11" spans="1:47">
      <c r="A11" s="38">
        <f t="shared" si="2"/>
        <v>1</v>
      </c>
      <c r="B11" s="38" t="str">
        <f t="shared" si="0"/>
        <v>East Village1</v>
      </c>
      <c r="C11" s="38">
        <f ca="1">IF(F11='Inputs and Outputs'!$H$11,1,IF(F11='Inputs and Outputs'!$H$17,2,IF(F11='Inputs and Outputs'!$H$23,3,0)))</f>
        <v>0</v>
      </c>
      <c r="D11" s="38" t="b">
        <f t="shared" ca="1" si="3"/>
        <v>0</v>
      </c>
      <c r="E11">
        <f>'Apartment Listings'!B11</f>
        <v>8</v>
      </c>
      <c r="F11" s="33" t="str">
        <f>'Apartment Listings'!C11</f>
        <v>East Village</v>
      </c>
      <c r="G11" s="33">
        <f>VLOOKUP(E11,'Apartment Listings'!B11:N160,13,0)</f>
        <v>32379</v>
      </c>
      <c r="H11" t="str">
        <f>IF(AND('Apartment Listings'!D11&gt;'Financial Worksheet'!$H$5,'Apartment Listings'!D11&lt;'Financial Worksheet'!$H$4),"Y","N")</f>
        <v>Y</v>
      </c>
      <c r="I11">
        <f>IF('Inputs and Outputs'!$I$8='Apartment Listings'!D11,'Apartment Scores'!$I$1,0)</f>
        <v>0</v>
      </c>
      <c r="J11">
        <f>IF('Apartment Listings'!F11&gt;='Inputs and Outputs'!$D$36,1,0)</f>
        <v>0</v>
      </c>
      <c r="K11">
        <f>IF('Apartment Listings'!G11&gt;='Inputs and Outputs'!$D$37,1,0)</f>
        <v>1</v>
      </c>
      <c r="L11">
        <f>IF('Apartment Listings'!H11='Inputs and Outputs'!$D$38,1,0)</f>
        <v>0</v>
      </c>
      <c r="M11">
        <f>IF('Apartment Listings'!I11='Inputs and Outputs'!$D$39,1,0)</f>
        <v>0</v>
      </c>
      <c r="N11">
        <f>IF('Apartment Listings'!J11='Inputs and Outputs'!$D$40,1,0)</f>
        <v>0</v>
      </c>
      <c r="O11">
        <f>IF('Apartment Listings'!K11='Inputs and Outputs'!$D$41,1,0)</f>
        <v>0</v>
      </c>
      <c r="P11">
        <f>IF('Apartment Listings'!L11='Inputs and Outputs'!$D$42,1,0)</f>
        <v>1</v>
      </c>
      <c r="Q11">
        <f>IF('Apartment Listings'!M11='Inputs and Outputs'!$D$43,1,0)</f>
        <v>0</v>
      </c>
      <c r="R11">
        <f t="shared" si="4"/>
        <v>0</v>
      </c>
      <c r="T11" s="38">
        <f t="shared" si="5"/>
        <v>6</v>
      </c>
      <c r="U11" s="44">
        <f t="shared" si="6"/>
        <v>79</v>
      </c>
      <c r="V11" s="22"/>
      <c r="W11" t="str">
        <f t="shared" si="1"/>
        <v>East Village79</v>
      </c>
      <c r="Y11">
        <f t="shared" si="19"/>
        <v>8</v>
      </c>
      <c r="Z11" t="str">
        <f t="shared" ca="1" si="20"/>
        <v>Flatiron</v>
      </c>
      <c r="AA11" t="str">
        <f t="shared" ca="1" si="7"/>
        <v>Flatiron8</v>
      </c>
      <c r="AB11">
        <f t="shared" ca="1" si="8"/>
        <v>100000</v>
      </c>
      <c r="AC11">
        <f t="shared" ca="1" si="9"/>
        <v>3</v>
      </c>
      <c r="AD11">
        <f ca="1">IF(COUNTIF($AC$3:AC10,AC11)&gt;0,COUNTIF($AC$3:AC10,AC11)+AC11,AC11)</f>
        <v>8</v>
      </c>
      <c r="AE11" t="str">
        <f t="shared" ca="1" si="10"/>
        <v>Flatiron8</v>
      </c>
      <c r="AG11">
        <f t="shared" si="21"/>
        <v>8</v>
      </c>
      <c r="AH11" t="str">
        <f t="shared" ca="1" si="22"/>
        <v>Chelsea</v>
      </c>
      <c r="AI11" t="str">
        <f t="shared" ca="1" si="11"/>
        <v>Chelsea8</v>
      </c>
      <c r="AJ11">
        <f t="shared" ca="1" si="12"/>
        <v>100000</v>
      </c>
      <c r="AK11">
        <f t="shared" ca="1" si="13"/>
        <v>6</v>
      </c>
      <c r="AL11">
        <f ca="1">IF(COUNTIF($AK$3:AK10,AK11)&gt;0,COUNTIF($AK$3:AK10,AK11)+AK11,AK11)</f>
        <v>8</v>
      </c>
      <c r="AM11" t="str">
        <f t="shared" ca="1" si="14"/>
        <v>Chelsea8</v>
      </c>
      <c r="AO11">
        <f t="shared" si="23"/>
        <v>8</v>
      </c>
      <c r="AP11" t="str">
        <f t="shared" ca="1" si="24"/>
        <v>Soho</v>
      </c>
      <c r="AQ11" t="str">
        <f t="shared" ca="1" si="15"/>
        <v>Soho8</v>
      </c>
      <c r="AR11">
        <f t="shared" ca="1" si="16"/>
        <v>100000</v>
      </c>
      <c r="AS11">
        <f t="shared" ca="1" si="17"/>
        <v>4</v>
      </c>
      <c r="AT11">
        <f ca="1">IF(COUNTIF($AS$3:AS10,AS11)&gt;0,COUNTIF($AS$3:AS10,AS11)+AS11,AS11)</f>
        <v>8</v>
      </c>
      <c r="AU11" t="str">
        <f t="shared" ca="1" si="18"/>
        <v>Soho8</v>
      </c>
    </row>
    <row r="12" spans="1:47">
      <c r="A12" s="38">
        <f t="shared" si="2"/>
        <v>2</v>
      </c>
      <c r="B12" s="38" t="str">
        <f t="shared" si="0"/>
        <v>East Village2</v>
      </c>
      <c r="C12" s="38">
        <f ca="1">IF(F12='Inputs and Outputs'!$H$11,1,IF(F12='Inputs and Outputs'!$H$17,2,IF(F12='Inputs and Outputs'!$H$23,3,0)))</f>
        <v>0</v>
      </c>
      <c r="D12" s="38" t="b">
        <f t="shared" ca="1" si="3"/>
        <v>0</v>
      </c>
      <c r="E12">
        <f>'Apartment Listings'!B12</f>
        <v>9</v>
      </c>
      <c r="F12" s="33" t="str">
        <f>'Apartment Listings'!C12</f>
        <v>East Village</v>
      </c>
      <c r="G12" s="33">
        <f>VLOOKUP(E12,'Apartment Listings'!B12:N161,13,0)</f>
        <v>51668</v>
      </c>
      <c r="H12" t="str">
        <f>IF(AND('Apartment Listings'!D12&gt;'Financial Worksheet'!$H$5,'Apartment Listings'!D12&lt;'Financial Worksheet'!$H$4),"Y","N")</f>
        <v>N</v>
      </c>
      <c r="I12">
        <f>IF('Inputs and Outputs'!$I$8='Apartment Listings'!D12,'Apartment Scores'!$I$1,0)</f>
        <v>0</v>
      </c>
      <c r="J12">
        <f>IF('Apartment Listings'!F12&gt;='Inputs and Outputs'!$D$36,1,0)</f>
        <v>0</v>
      </c>
      <c r="K12">
        <f>IF('Apartment Listings'!G12&gt;='Inputs and Outputs'!$D$37,1,0)</f>
        <v>1</v>
      </c>
      <c r="L12">
        <f>IF('Apartment Listings'!H12='Inputs and Outputs'!$D$38,1,0)</f>
        <v>0</v>
      </c>
      <c r="M12">
        <f>IF('Apartment Listings'!I12='Inputs and Outputs'!$D$39,1,0)</f>
        <v>0</v>
      </c>
      <c r="N12">
        <f>IF('Apartment Listings'!J12='Inputs and Outputs'!$D$40,1,0)</f>
        <v>0</v>
      </c>
      <c r="O12">
        <f>IF('Apartment Listings'!K12='Inputs and Outputs'!$D$41,1,0)</f>
        <v>0</v>
      </c>
      <c r="P12">
        <f>IF('Apartment Listings'!L12='Inputs and Outputs'!$D$42,1,0)</f>
        <v>0</v>
      </c>
      <c r="Q12">
        <f>IF('Apartment Listings'!M12='Inputs and Outputs'!$D$43,1,0)</f>
        <v>0</v>
      </c>
      <c r="R12">
        <f t="shared" si="4"/>
        <v>0</v>
      </c>
      <c r="T12" s="38">
        <f t="shared" si="5"/>
        <v>-2</v>
      </c>
      <c r="U12" s="44">
        <f t="shared" si="6"/>
        <v>147</v>
      </c>
      <c r="W12" t="str">
        <f t="shared" si="1"/>
        <v>East Village147</v>
      </c>
      <c r="Y12">
        <f t="shared" si="19"/>
        <v>9</v>
      </c>
      <c r="Z12" t="str">
        <f t="shared" ca="1" si="20"/>
        <v>Flatiron</v>
      </c>
      <c r="AA12" t="str">
        <f t="shared" ca="1" si="7"/>
        <v>Flatiron9</v>
      </c>
      <c r="AB12">
        <f t="shared" ca="1" si="8"/>
        <v>100000</v>
      </c>
      <c r="AC12">
        <f t="shared" ca="1" si="9"/>
        <v>3</v>
      </c>
      <c r="AD12">
        <f ca="1">IF(COUNTIF($AC$3:AC11,AC12)&gt;0,COUNTIF($AC$3:AC11,AC12)+AC12,AC12)</f>
        <v>9</v>
      </c>
      <c r="AE12" t="str">
        <f t="shared" ca="1" si="10"/>
        <v>Flatiron9</v>
      </c>
      <c r="AG12">
        <f t="shared" si="21"/>
        <v>9</v>
      </c>
      <c r="AH12" t="str">
        <f t="shared" ca="1" si="22"/>
        <v>Chelsea</v>
      </c>
      <c r="AI12" t="str">
        <f t="shared" ca="1" si="11"/>
        <v>Chelsea9</v>
      </c>
      <c r="AJ12">
        <f t="shared" ca="1" si="12"/>
        <v>100000</v>
      </c>
      <c r="AK12">
        <f t="shared" ca="1" si="13"/>
        <v>6</v>
      </c>
      <c r="AL12">
        <f ca="1">IF(COUNTIF($AK$3:AK11,AK12)&gt;0,COUNTIF($AK$3:AK11,AK12)+AK12,AK12)</f>
        <v>9</v>
      </c>
      <c r="AM12" t="str">
        <f t="shared" ca="1" si="14"/>
        <v>Chelsea9</v>
      </c>
      <c r="AO12">
        <f t="shared" si="23"/>
        <v>9</v>
      </c>
      <c r="AP12" t="str">
        <f t="shared" ca="1" si="24"/>
        <v>Soho</v>
      </c>
      <c r="AQ12" t="str">
        <f t="shared" ca="1" si="15"/>
        <v>Soho9</v>
      </c>
      <c r="AR12">
        <f t="shared" ca="1" si="16"/>
        <v>100000</v>
      </c>
      <c r="AS12">
        <f t="shared" ca="1" si="17"/>
        <v>4</v>
      </c>
      <c r="AT12">
        <f ca="1">IF(COUNTIF($AS$3:AS11,AS12)&gt;0,COUNTIF($AS$3:AS11,AS12)+AS12,AS12)</f>
        <v>9</v>
      </c>
      <c r="AU12" t="str">
        <f t="shared" ca="1" si="18"/>
        <v>Soho9</v>
      </c>
    </row>
    <row r="13" spans="1:47">
      <c r="A13" s="38">
        <f t="shared" si="2"/>
        <v>3</v>
      </c>
      <c r="B13" s="38" t="str">
        <f t="shared" si="0"/>
        <v>East Village3</v>
      </c>
      <c r="C13" s="38">
        <f ca="1">IF(F13='Inputs and Outputs'!$H$11,1,IF(F13='Inputs and Outputs'!$H$17,2,IF(F13='Inputs and Outputs'!$H$23,3,0)))</f>
        <v>0</v>
      </c>
      <c r="D13" s="38" t="b">
        <f t="shared" ca="1" si="3"/>
        <v>0</v>
      </c>
      <c r="E13">
        <f>'Apartment Listings'!B13</f>
        <v>10</v>
      </c>
      <c r="F13" s="33" t="str">
        <f>'Apartment Listings'!C13</f>
        <v>East Village</v>
      </c>
      <c r="G13" s="33">
        <f>VLOOKUP(E13,'Apartment Listings'!B13:N162,13,0)</f>
        <v>89320</v>
      </c>
      <c r="H13" t="str">
        <f>IF(AND('Apartment Listings'!D13&gt;'Financial Worksheet'!$H$5,'Apartment Listings'!D13&lt;'Financial Worksheet'!$H$4),"Y","N")</f>
        <v>Y</v>
      </c>
      <c r="I13">
        <f>IF('Inputs and Outputs'!$I$8='Apartment Listings'!D13,'Apartment Scores'!$I$1,0)</f>
        <v>0</v>
      </c>
      <c r="J13">
        <f>IF('Apartment Listings'!F13&gt;='Inputs and Outputs'!$D$36,1,0)</f>
        <v>0</v>
      </c>
      <c r="K13">
        <f>IF('Apartment Listings'!G13&gt;='Inputs and Outputs'!$D$37,1,0)</f>
        <v>1</v>
      </c>
      <c r="L13">
        <f>IF('Apartment Listings'!H13='Inputs and Outputs'!$D$38,1,0)</f>
        <v>1</v>
      </c>
      <c r="M13">
        <f>IF('Apartment Listings'!I13='Inputs and Outputs'!$D$39,1,0)</f>
        <v>0</v>
      </c>
      <c r="N13">
        <f>IF('Apartment Listings'!J13='Inputs and Outputs'!$D$40,1,0)</f>
        <v>0</v>
      </c>
      <c r="O13">
        <f>IF('Apartment Listings'!K13='Inputs and Outputs'!$D$41,1,0)</f>
        <v>0</v>
      </c>
      <c r="P13">
        <f>IF('Apartment Listings'!L13='Inputs and Outputs'!$D$42,1,0)</f>
        <v>1</v>
      </c>
      <c r="Q13">
        <f>IF('Apartment Listings'!M13='Inputs and Outputs'!$D$43,1,0)</f>
        <v>0</v>
      </c>
      <c r="R13">
        <f t="shared" si="4"/>
        <v>0</v>
      </c>
      <c r="T13" s="38">
        <f t="shared" si="5"/>
        <v>7</v>
      </c>
      <c r="U13" s="44">
        <f t="shared" si="6"/>
        <v>61</v>
      </c>
      <c r="W13" t="str">
        <f t="shared" si="1"/>
        <v>East Village61</v>
      </c>
      <c r="Y13">
        <f t="shared" si="19"/>
        <v>10</v>
      </c>
      <c r="Z13" t="str">
        <f t="shared" ca="1" si="20"/>
        <v>Flatiron</v>
      </c>
      <c r="AA13" t="str">
        <f t="shared" ca="1" si="7"/>
        <v>Flatiron10</v>
      </c>
      <c r="AB13">
        <f t="shared" ca="1" si="8"/>
        <v>100000</v>
      </c>
      <c r="AC13">
        <f t="shared" ca="1" si="9"/>
        <v>3</v>
      </c>
      <c r="AD13">
        <f ca="1">IF(COUNTIF($AC$3:AC12,AC13)&gt;0,COUNTIF($AC$3:AC12,AC13)+AC13,AC13)</f>
        <v>10</v>
      </c>
      <c r="AE13" t="str">
        <f t="shared" ca="1" si="10"/>
        <v>Flatiron10</v>
      </c>
      <c r="AG13">
        <f t="shared" si="21"/>
        <v>10</v>
      </c>
      <c r="AH13" t="str">
        <f t="shared" ca="1" si="22"/>
        <v>Chelsea</v>
      </c>
      <c r="AI13" t="str">
        <f t="shared" ca="1" si="11"/>
        <v>Chelsea10</v>
      </c>
      <c r="AJ13">
        <f t="shared" ca="1" si="12"/>
        <v>100000</v>
      </c>
      <c r="AK13">
        <f t="shared" ca="1" si="13"/>
        <v>6</v>
      </c>
      <c r="AL13">
        <f ca="1">IF(COUNTIF($AK$3:AK12,AK13)&gt;0,COUNTIF($AK$3:AK12,AK13)+AK13,AK13)</f>
        <v>10</v>
      </c>
      <c r="AM13" t="str">
        <f t="shared" ca="1" si="14"/>
        <v>Chelsea10</v>
      </c>
      <c r="AO13">
        <f t="shared" si="23"/>
        <v>10</v>
      </c>
      <c r="AP13" t="str">
        <f t="shared" ca="1" si="24"/>
        <v>Soho</v>
      </c>
      <c r="AQ13" t="str">
        <f t="shared" ca="1" si="15"/>
        <v>Soho10</v>
      </c>
      <c r="AR13">
        <f t="shared" ca="1" si="16"/>
        <v>100000</v>
      </c>
      <c r="AS13">
        <f t="shared" ca="1" si="17"/>
        <v>4</v>
      </c>
      <c r="AT13">
        <f ca="1">IF(COUNTIF($AS$3:AS12,AS13)&gt;0,COUNTIF($AS$3:AS12,AS13)+AS13,AS13)</f>
        <v>10</v>
      </c>
      <c r="AU13" t="str">
        <f t="shared" ca="1" si="18"/>
        <v>Soho10</v>
      </c>
    </row>
    <row r="14" spans="1:47">
      <c r="A14" s="38">
        <f t="shared" si="2"/>
        <v>4</v>
      </c>
      <c r="B14" s="38" t="str">
        <f t="shared" si="0"/>
        <v>East Village4</v>
      </c>
      <c r="C14" s="38">
        <f ca="1">IF(F14='Inputs and Outputs'!$H$11,1,IF(F14='Inputs and Outputs'!$H$17,2,IF(F14='Inputs and Outputs'!$H$23,3,0)))</f>
        <v>0</v>
      </c>
      <c r="D14" s="38" t="b">
        <f t="shared" ca="1" si="3"/>
        <v>0</v>
      </c>
      <c r="E14">
        <f>'Apartment Listings'!B14</f>
        <v>11</v>
      </c>
      <c r="F14" s="33" t="str">
        <f>'Apartment Listings'!C14</f>
        <v>East Village</v>
      </c>
      <c r="G14" s="33">
        <f>VLOOKUP(E14,'Apartment Listings'!B14:N163,13,0)</f>
        <v>11694</v>
      </c>
      <c r="H14" t="str">
        <f>IF(AND('Apartment Listings'!D14&gt;'Financial Worksheet'!$H$5,'Apartment Listings'!D14&lt;'Financial Worksheet'!$H$4),"Y","N")</f>
        <v>Y</v>
      </c>
      <c r="I14">
        <f>IF('Inputs and Outputs'!$I$8='Apartment Listings'!D14,'Apartment Scores'!$I$1,0)</f>
        <v>0</v>
      </c>
      <c r="J14">
        <f>IF('Apartment Listings'!F14&gt;='Inputs and Outputs'!$D$36,1,0)</f>
        <v>1</v>
      </c>
      <c r="K14">
        <f>IF('Apartment Listings'!G14&gt;='Inputs and Outputs'!$D$37,1,0)</f>
        <v>1</v>
      </c>
      <c r="L14">
        <f>IF('Apartment Listings'!H14='Inputs and Outputs'!$D$38,1,0)</f>
        <v>0</v>
      </c>
      <c r="M14">
        <f>IF('Apartment Listings'!I14='Inputs and Outputs'!$D$39,1,0)</f>
        <v>0</v>
      </c>
      <c r="N14">
        <f>IF('Apartment Listings'!J14='Inputs and Outputs'!$D$40,1,0)</f>
        <v>0</v>
      </c>
      <c r="O14">
        <f>IF('Apartment Listings'!K14='Inputs and Outputs'!$D$41,1,0)</f>
        <v>0</v>
      </c>
      <c r="P14">
        <f>IF('Apartment Listings'!L14='Inputs and Outputs'!$D$42,1,0)</f>
        <v>0</v>
      </c>
      <c r="Q14">
        <f>IF('Apartment Listings'!M14='Inputs and Outputs'!$D$43,1,0)</f>
        <v>0</v>
      </c>
      <c r="R14">
        <f t="shared" si="4"/>
        <v>0</v>
      </c>
      <c r="T14" s="38">
        <f t="shared" si="5"/>
        <v>6</v>
      </c>
      <c r="U14" s="44">
        <f t="shared" si="6"/>
        <v>79</v>
      </c>
      <c r="W14" t="str">
        <f t="shared" si="1"/>
        <v>East Village79</v>
      </c>
      <c r="Y14">
        <f t="shared" si="19"/>
        <v>11</v>
      </c>
      <c r="Z14" t="str">
        <f t="shared" ca="1" si="20"/>
        <v>Flatiron</v>
      </c>
      <c r="AA14" t="str">
        <f t="shared" ca="1" si="7"/>
        <v>Flatiron11</v>
      </c>
      <c r="AB14">
        <f t="shared" ca="1" si="8"/>
        <v>100000</v>
      </c>
      <c r="AC14">
        <f t="shared" ca="1" si="9"/>
        <v>3</v>
      </c>
      <c r="AD14">
        <f ca="1">IF(COUNTIF($AC$3:AC13,AC14)&gt;0,COUNTIF($AC$3:AC13,AC14)+AC14,AC14)</f>
        <v>11</v>
      </c>
      <c r="AE14" t="str">
        <f t="shared" ca="1" si="10"/>
        <v>Flatiron11</v>
      </c>
      <c r="AG14">
        <f t="shared" si="21"/>
        <v>11</v>
      </c>
      <c r="AH14" t="str">
        <f t="shared" ca="1" si="22"/>
        <v>Chelsea</v>
      </c>
      <c r="AI14" t="str">
        <f t="shared" ca="1" si="11"/>
        <v>Chelsea11</v>
      </c>
      <c r="AJ14">
        <f t="shared" ca="1" si="12"/>
        <v>100000</v>
      </c>
      <c r="AK14">
        <f t="shared" ca="1" si="13"/>
        <v>6</v>
      </c>
      <c r="AL14">
        <f ca="1">IF(COUNTIF($AK$3:AK13,AK14)&gt;0,COUNTIF($AK$3:AK13,AK14)+AK14,AK14)</f>
        <v>11</v>
      </c>
      <c r="AM14" t="str">
        <f t="shared" ca="1" si="14"/>
        <v>Chelsea11</v>
      </c>
      <c r="AO14">
        <f t="shared" si="23"/>
        <v>11</v>
      </c>
      <c r="AP14" t="str">
        <f t="shared" ca="1" si="24"/>
        <v>Soho</v>
      </c>
      <c r="AQ14" t="str">
        <f t="shared" ca="1" si="15"/>
        <v>Soho11</v>
      </c>
      <c r="AR14">
        <f t="shared" ca="1" si="16"/>
        <v>100000</v>
      </c>
      <c r="AS14">
        <f t="shared" ca="1" si="17"/>
        <v>4</v>
      </c>
      <c r="AT14">
        <f ca="1">IF(COUNTIF($AS$3:AS13,AS14)&gt;0,COUNTIF($AS$3:AS13,AS14)+AS14,AS14)</f>
        <v>11</v>
      </c>
      <c r="AU14" t="str">
        <f t="shared" ca="1" si="18"/>
        <v>Soho11</v>
      </c>
    </row>
    <row r="15" spans="1:47">
      <c r="A15" s="38">
        <f t="shared" si="2"/>
        <v>5</v>
      </c>
      <c r="B15" s="38" t="str">
        <f t="shared" si="0"/>
        <v>East Village5</v>
      </c>
      <c r="C15" s="38">
        <f ca="1">IF(F15='Inputs and Outputs'!$H$11,1,IF(F15='Inputs and Outputs'!$H$17,2,IF(F15='Inputs and Outputs'!$H$23,3,0)))</f>
        <v>0</v>
      </c>
      <c r="D15" s="38" t="b">
        <f t="shared" ca="1" si="3"/>
        <v>0</v>
      </c>
      <c r="E15">
        <f>'Apartment Listings'!B15</f>
        <v>12</v>
      </c>
      <c r="F15" s="33" t="str">
        <f>'Apartment Listings'!C15</f>
        <v>East Village</v>
      </c>
      <c r="G15" s="33">
        <f>VLOOKUP(E15,'Apartment Listings'!B15:N164,13,0)</f>
        <v>31326</v>
      </c>
      <c r="H15" t="str">
        <f>IF(AND('Apartment Listings'!D15&gt;'Financial Worksheet'!$H$5,'Apartment Listings'!D15&lt;'Financial Worksheet'!$H$4),"Y","N")</f>
        <v>Y</v>
      </c>
      <c r="I15">
        <f>IF('Inputs and Outputs'!$I$8='Apartment Listings'!D15,'Apartment Scores'!$I$1,0)</f>
        <v>2</v>
      </c>
      <c r="J15">
        <f>IF('Apartment Listings'!F15&gt;='Inputs and Outputs'!$D$36,1,0)</f>
        <v>1</v>
      </c>
      <c r="K15">
        <f>IF('Apartment Listings'!G15&gt;='Inputs and Outputs'!$D$37,1,0)</f>
        <v>1</v>
      </c>
      <c r="L15">
        <f>IF('Apartment Listings'!H15='Inputs and Outputs'!$D$38,1,0)</f>
        <v>1</v>
      </c>
      <c r="M15">
        <f>IF('Apartment Listings'!I15='Inputs and Outputs'!$D$39,1,0)</f>
        <v>1</v>
      </c>
      <c r="N15">
        <f>IF('Apartment Listings'!J15='Inputs and Outputs'!$D$40,1,0)</f>
        <v>1</v>
      </c>
      <c r="O15">
        <f>IF('Apartment Listings'!K15='Inputs and Outputs'!$D$41,1,0)</f>
        <v>1</v>
      </c>
      <c r="P15">
        <f>IF('Apartment Listings'!L15='Inputs and Outputs'!$D$42,1,0)</f>
        <v>0</v>
      </c>
      <c r="Q15">
        <f>IF('Apartment Listings'!M15='Inputs and Outputs'!$D$43,1,0)</f>
        <v>1</v>
      </c>
      <c r="R15">
        <f t="shared" si="4"/>
        <v>0</v>
      </c>
      <c r="T15" s="38">
        <f t="shared" si="5"/>
        <v>13</v>
      </c>
      <c r="U15" s="44">
        <f t="shared" si="6"/>
        <v>3</v>
      </c>
      <c r="W15" t="str">
        <f t="shared" si="1"/>
        <v>East Village3</v>
      </c>
      <c r="Y15">
        <f t="shared" si="19"/>
        <v>12</v>
      </c>
      <c r="Z15" t="str">
        <f t="shared" ca="1" si="20"/>
        <v>Flatiron</v>
      </c>
      <c r="AA15" t="str">
        <f t="shared" ca="1" si="7"/>
        <v>Flatiron12</v>
      </c>
      <c r="AB15">
        <f t="shared" ca="1" si="8"/>
        <v>100000</v>
      </c>
      <c r="AC15">
        <f t="shared" ca="1" si="9"/>
        <v>3</v>
      </c>
      <c r="AD15">
        <f ca="1">IF(COUNTIF($AC$3:AC14,AC15)&gt;0,COUNTIF($AC$3:AC14,AC15)+AC15,AC15)</f>
        <v>12</v>
      </c>
      <c r="AE15" t="str">
        <f t="shared" ca="1" si="10"/>
        <v>Flatiron12</v>
      </c>
      <c r="AG15">
        <f t="shared" si="21"/>
        <v>12</v>
      </c>
      <c r="AH15" t="str">
        <f t="shared" ca="1" si="22"/>
        <v>Chelsea</v>
      </c>
      <c r="AI15" t="str">
        <f t="shared" ca="1" si="11"/>
        <v>Chelsea12</v>
      </c>
      <c r="AJ15">
        <f t="shared" ca="1" si="12"/>
        <v>100000</v>
      </c>
      <c r="AK15">
        <f t="shared" ca="1" si="13"/>
        <v>6</v>
      </c>
      <c r="AL15">
        <f ca="1">IF(COUNTIF($AK$3:AK14,AK15)&gt;0,COUNTIF($AK$3:AK14,AK15)+AK15,AK15)</f>
        <v>12</v>
      </c>
      <c r="AM15" t="str">
        <f t="shared" ca="1" si="14"/>
        <v>Chelsea12</v>
      </c>
      <c r="AO15">
        <f t="shared" si="23"/>
        <v>12</v>
      </c>
      <c r="AP15" t="str">
        <f t="shared" ca="1" si="24"/>
        <v>Soho</v>
      </c>
      <c r="AQ15" t="str">
        <f t="shared" ca="1" si="15"/>
        <v>Soho12</v>
      </c>
      <c r="AR15">
        <f t="shared" ca="1" si="16"/>
        <v>100000</v>
      </c>
      <c r="AS15">
        <f t="shared" ca="1" si="17"/>
        <v>4</v>
      </c>
      <c r="AT15">
        <f ca="1">IF(COUNTIF($AS$3:AS14,AS15)&gt;0,COUNTIF($AS$3:AS14,AS15)+AS15,AS15)</f>
        <v>12</v>
      </c>
      <c r="AU15" t="str">
        <f t="shared" ca="1" si="18"/>
        <v>Soho12</v>
      </c>
    </row>
    <row r="16" spans="1:47">
      <c r="A16" s="38">
        <f t="shared" si="2"/>
        <v>6</v>
      </c>
      <c r="B16" s="38" t="str">
        <f t="shared" si="0"/>
        <v>East Village6</v>
      </c>
      <c r="C16" s="38">
        <f ca="1">IF(F16='Inputs and Outputs'!$H$11,1,IF(F16='Inputs and Outputs'!$H$17,2,IF(F16='Inputs and Outputs'!$H$23,3,0)))</f>
        <v>0</v>
      </c>
      <c r="D16" s="38" t="b">
        <f t="shared" ca="1" si="3"/>
        <v>0</v>
      </c>
      <c r="E16">
        <f>'Apartment Listings'!B16</f>
        <v>13</v>
      </c>
      <c r="F16" s="33" t="str">
        <f>'Apartment Listings'!C16</f>
        <v>East Village</v>
      </c>
      <c r="G16" s="33">
        <f>VLOOKUP(E16,'Apartment Listings'!B16:N165,13,0)</f>
        <v>55004</v>
      </c>
      <c r="H16" t="str">
        <f>IF(AND('Apartment Listings'!D16&gt;'Financial Worksheet'!$H$5,'Apartment Listings'!D16&lt;'Financial Worksheet'!$H$4),"Y","N")</f>
        <v>Y</v>
      </c>
      <c r="I16">
        <f>IF('Inputs and Outputs'!$I$8='Apartment Listings'!D16,'Apartment Scores'!$I$1,0)</f>
        <v>0</v>
      </c>
      <c r="J16">
        <f>IF('Apartment Listings'!F16&gt;='Inputs and Outputs'!$D$36,1,0)</f>
        <v>1</v>
      </c>
      <c r="K16">
        <f>IF('Apartment Listings'!G16&gt;='Inputs and Outputs'!$D$37,1,0)</f>
        <v>1</v>
      </c>
      <c r="L16">
        <f>IF('Apartment Listings'!H16='Inputs and Outputs'!$D$38,1,0)</f>
        <v>0</v>
      </c>
      <c r="M16">
        <f>IF('Apartment Listings'!I16='Inputs and Outputs'!$D$39,1,0)</f>
        <v>0</v>
      </c>
      <c r="N16">
        <f>IF('Apartment Listings'!J16='Inputs and Outputs'!$D$40,1,0)</f>
        <v>0</v>
      </c>
      <c r="O16">
        <f>IF('Apartment Listings'!K16='Inputs and Outputs'!$D$41,1,0)</f>
        <v>0</v>
      </c>
      <c r="P16">
        <f>IF('Apartment Listings'!L16='Inputs and Outputs'!$D$42,1,0)</f>
        <v>1</v>
      </c>
      <c r="Q16">
        <f>IF('Apartment Listings'!M16='Inputs and Outputs'!$D$43,1,0)</f>
        <v>0</v>
      </c>
      <c r="R16">
        <f t="shared" si="4"/>
        <v>0</v>
      </c>
      <c r="T16" s="38">
        <f t="shared" si="5"/>
        <v>7</v>
      </c>
      <c r="U16" s="44">
        <f t="shared" si="6"/>
        <v>61</v>
      </c>
      <c r="W16" t="str">
        <f t="shared" si="1"/>
        <v>East Village61</v>
      </c>
      <c r="Y16">
        <f t="shared" si="19"/>
        <v>13</v>
      </c>
      <c r="Z16" t="str">
        <f t="shared" ca="1" si="20"/>
        <v>Flatiron</v>
      </c>
      <c r="AA16" t="str">
        <f t="shared" ca="1" si="7"/>
        <v>Flatiron13</v>
      </c>
      <c r="AB16">
        <f t="shared" ca="1" si="8"/>
        <v>100000</v>
      </c>
      <c r="AC16">
        <f t="shared" ca="1" si="9"/>
        <v>3</v>
      </c>
      <c r="AD16">
        <f ca="1">IF(COUNTIF($AC$3:AC15,AC16)&gt;0,COUNTIF($AC$3:AC15,AC16)+AC16,AC16)</f>
        <v>13</v>
      </c>
      <c r="AE16" t="str">
        <f t="shared" ca="1" si="10"/>
        <v>Flatiron13</v>
      </c>
      <c r="AG16">
        <f t="shared" si="21"/>
        <v>13</v>
      </c>
      <c r="AH16" t="str">
        <f t="shared" ca="1" si="22"/>
        <v>Chelsea</v>
      </c>
      <c r="AI16" t="str">
        <f t="shared" ca="1" si="11"/>
        <v>Chelsea13</v>
      </c>
      <c r="AJ16">
        <f t="shared" ca="1" si="12"/>
        <v>100000</v>
      </c>
      <c r="AK16">
        <f t="shared" ca="1" si="13"/>
        <v>6</v>
      </c>
      <c r="AL16">
        <f ca="1">IF(COUNTIF($AK$3:AK15,AK16)&gt;0,COUNTIF($AK$3:AK15,AK16)+AK16,AK16)</f>
        <v>13</v>
      </c>
      <c r="AM16" t="str">
        <f t="shared" ca="1" si="14"/>
        <v>Chelsea13</v>
      </c>
      <c r="AO16">
        <f t="shared" si="23"/>
        <v>13</v>
      </c>
      <c r="AP16" t="str">
        <f t="shared" ca="1" si="24"/>
        <v>Soho</v>
      </c>
      <c r="AQ16" t="str">
        <f t="shared" ca="1" si="15"/>
        <v>Soho13</v>
      </c>
      <c r="AR16">
        <f t="shared" ca="1" si="16"/>
        <v>100000</v>
      </c>
      <c r="AS16">
        <f t="shared" ca="1" si="17"/>
        <v>4</v>
      </c>
      <c r="AT16">
        <f ca="1">IF(COUNTIF($AS$3:AS15,AS16)&gt;0,COUNTIF($AS$3:AS15,AS16)+AS16,AS16)</f>
        <v>13</v>
      </c>
      <c r="AU16" t="str">
        <f t="shared" ca="1" si="18"/>
        <v>Soho13</v>
      </c>
    </row>
    <row r="17" spans="1:47">
      <c r="A17" s="38">
        <f t="shared" si="2"/>
        <v>7</v>
      </c>
      <c r="B17" s="38" t="str">
        <f t="shared" si="0"/>
        <v>East Village7</v>
      </c>
      <c r="C17" s="38">
        <f ca="1">IF(F17='Inputs and Outputs'!$H$11,1,IF(F17='Inputs and Outputs'!$H$17,2,IF(F17='Inputs and Outputs'!$H$23,3,0)))</f>
        <v>0</v>
      </c>
      <c r="D17" s="38" t="b">
        <f t="shared" ca="1" si="3"/>
        <v>0</v>
      </c>
      <c r="E17">
        <f>'Apartment Listings'!B17</f>
        <v>14</v>
      </c>
      <c r="F17" s="33" t="str">
        <f>'Apartment Listings'!C17</f>
        <v>East Village</v>
      </c>
      <c r="G17" s="33">
        <f>VLOOKUP(E17,'Apartment Listings'!B17:N166,13,0)</f>
        <v>91121</v>
      </c>
      <c r="H17" t="str">
        <f>IF(AND('Apartment Listings'!D17&gt;'Financial Worksheet'!$H$5,'Apartment Listings'!D17&lt;'Financial Worksheet'!$H$4),"Y","N")</f>
        <v>Y</v>
      </c>
      <c r="I17">
        <f>IF('Inputs and Outputs'!$I$8='Apartment Listings'!D17,'Apartment Scores'!$I$1,0)</f>
        <v>0</v>
      </c>
      <c r="J17">
        <f>IF('Apartment Listings'!F17&gt;='Inputs and Outputs'!$D$36,1,0)</f>
        <v>0</v>
      </c>
      <c r="K17">
        <f>IF('Apartment Listings'!G17&gt;='Inputs and Outputs'!$D$37,1,0)</f>
        <v>1</v>
      </c>
      <c r="L17">
        <f>IF('Apartment Listings'!H17='Inputs and Outputs'!$D$38,1,0)</f>
        <v>0</v>
      </c>
      <c r="M17">
        <f>IF('Apartment Listings'!I17='Inputs and Outputs'!$D$39,1,0)</f>
        <v>0</v>
      </c>
      <c r="N17">
        <f>IF('Apartment Listings'!J17='Inputs and Outputs'!$D$40,1,0)</f>
        <v>0</v>
      </c>
      <c r="O17">
        <f>IF('Apartment Listings'!K17='Inputs and Outputs'!$D$41,1,0)</f>
        <v>0</v>
      </c>
      <c r="P17">
        <f>IF('Apartment Listings'!L17='Inputs and Outputs'!$D$42,1,0)</f>
        <v>0</v>
      </c>
      <c r="Q17">
        <f>IF('Apartment Listings'!M17='Inputs and Outputs'!$D$43,1,0)</f>
        <v>0</v>
      </c>
      <c r="R17">
        <f t="shared" si="4"/>
        <v>0</v>
      </c>
      <c r="T17" s="38">
        <f t="shared" si="5"/>
        <v>5</v>
      </c>
      <c r="U17" s="44">
        <f t="shared" si="6"/>
        <v>92</v>
      </c>
      <c r="W17" t="str">
        <f t="shared" si="1"/>
        <v>East Village92</v>
      </c>
      <c r="Y17">
        <f t="shared" si="19"/>
        <v>14</v>
      </c>
      <c r="Z17" t="str">
        <f t="shared" ca="1" si="20"/>
        <v>Flatiron</v>
      </c>
      <c r="AA17" t="str">
        <f t="shared" ca="1" si="7"/>
        <v>Flatiron14</v>
      </c>
      <c r="AB17">
        <f t="shared" ca="1" si="8"/>
        <v>100000</v>
      </c>
      <c r="AC17">
        <f t="shared" ca="1" si="9"/>
        <v>3</v>
      </c>
      <c r="AD17">
        <f ca="1">IF(COUNTIF($AC$3:AC16,AC17)&gt;0,COUNTIF($AC$3:AC16,AC17)+AC17,AC17)</f>
        <v>14</v>
      </c>
      <c r="AE17" t="str">
        <f t="shared" ca="1" si="10"/>
        <v>Flatiron14</v>
      </c>
      <c r="AG17">
        <f t="shared" si="21"/>
        <v>14</v>
      </c>
      <c r="AH17" t="str">
        <f t="shared" ca="1" si="22"/>
        <v>Chelsea</v>
      </c>
      <c r="AI17" t="str">
        <f t="shared" ca="1" si="11"/>
        <v>Chelsea14</v>
      </c>
      <c r="AJ17">
        <f t="shared" ca="1" si="12"/>
        <v>100000</v>
      </c>
      <c r="AK17">
        <f t="shared" ca="1" si="13"/>
        <v>6</v>
      </c>
      <c r="AL17">
        <f ca="1">IF(COUNTIF($AK$3:AK16,AK17)&gt;0,COUNTIF($AK$3:AK16,AK17)+AK17,AK17)</f>
        <v>14</v>
      </c>
      <c r="AM17" t="str">
        <f t="shared" ca="1" si="14"/>
        <v>Chelsea14</v>
      </c>
      <c r="AO17">
        <f t="shared" si="23"/>
        <v>14</v>
      </c>
      <c r="AP17" t="str">
        <f t="shared" ca="1" si="24"/>
        <v>Soho</v>
      </c>
      <c r="AQ17" t="str">
        <f t="shared" ca="1" si="15"/>
        <v>Soho14</v>
      </c>
      <c r="AR17">
        <f t="shared" ca="1" si="16"/>
        <v>100000</v>
      </c>
      <c r="AS17">
        <f t="shared" ca="1" si="17"/>
        <v>4</v>
      </c>
      <c r="AT17">
        <f ca="1">IF(COUNTIF($AS$3:AS16,AS17)&gt;0,COUNTIF($AS$3:AS16,AS17)+AS17,AS17)</f>
        <v>14</v>
      </c>
      <c r="AU17" t="str">
        <f t="shared" ca="1" si="18"/>
        <v>Soho14</v>
      </c>
    </row>
    <row r="18" spans="1:47">
      <c r="A18" s="38">
        <f t="shared" si="2"/>
        <v>8</v>
      </c>
      <c r="B18" s="38" t="str">
        <f t="shared" si="0"/>
        <v>East Village8</v>
      </c>
      <c r="C18" s="38">
        <f ca="1">IF(F18='Inputs and Outputs'!$H$11,1,IF(F18='Inputs and Outputs'!$H$17,2,IF(F18='Inputs and Outputs'!$H$23,3,0)))</f>
        <v>0</v>
      </c>
      <c r="D18" s="38" t="b">
        <f t="shared" ca="1" si="3"/>
        <v>0</v>
      </c>
      <c r="E18">
        <f>'Apartment Listings'!B18</f>
        <v>15</v>
      </c>
      <c r="F18" s="33" t="str">
        <f>'Apartment Listings'!C18</f>
        <v>East Village</v>
      </c>
      <c r="G18" s="33">
        <f>VLOOKUP(E18,'Apartment Listings'!B18:N167,13,0)</f>
        <v>98895</v>
      </c>
      <c r="H18" t="str">
        <f>IF(AND('Apartment Listings'!D18&gt;'Financial Worksheet'!$H$5,'Apartment Listings'!D18&lt;'Financial Worksheet'!$H$4),"Y","N")</f>
        <v>Y</v>
      </c>
      <c r="I18">
        <f>IF('Inputs and Outputs'!$I$8='Apartment Listings'!D18,'Apartment Scores'!$I$1,0)</f>
        <v>0</v>
      </c>
      <c r="J18">
        <f>IF('Apartment Listings'!F18&gt;='Inputs and Outputs'!$D$36,1,0)</f>
        <v>0</v>
      </c>
      <c r="K18">
        <f>IF('Apartment Listings'!G18&gt;='Inputs and Outputs'!$D$37,1,0)</f>
        <v>1</v>
      </c>
      <c r="L18">
        <f>IF('Apartment Listings'!H18='Inputs and Outputs'!$D$38,1,0)</f>
        <v>0</v>
      </c>
      <c r="M18">
        <f>IF('Apartment Listings'!I18='Inputs and Outputs'!$D$39,1,0)</f>
        <v>0</v>
      </c>
      <c r="N18">
        <f>IF('Apartment Listings'!J18='Inputs and Outputs'!$D$40,1,0)</f>
        <v>0</v>
      </c>
      <c r="O18">
        <f>IF('Apartment Listings'!K18='Inputs and Outputs'!$D$41,1,0)</f>
        <v>0</v>
      </c>
      <c r="P18">
        <f>IF('Apartment Listings'!L18='Inputs and Outputs'!$D$42,1,0)</f>
        <v>1</v>
      </c>
      <c r="Q18">
        <f>IF('Apartment Listings'!M18='Inputs and Outputs'!$D$43,1,0)</f>
        <v>0</v>
      </c>
      <c r="R18">
        <f t="shared" si="4"/>
        <v>0</v>
      </c>
      <c r="T18" s="38">
        <f t="shared" si="5"/>
        <v>6</v>
      </c>
      <c r="U18" s="44">
        <f t="shared" si="6"/>
        <v>79</v>
      </c>
      <c r="W18" t="str">
        <f t="shared" si="1"/>
        <v>East Village79</v>
      </c>
      <c r="Y18">
        <f t="shared" si="19"/>
        <v>15</v>
      </c>
      <c r="Z18" t="str">
        <f t="shared" ca="1" si="20"/>
        <v>Flatiron</v>
      </c>
      <c r="AA18" t="str">
        <f t="shared" ca="1" si="7"/>
        <v>Flatiron15</v>
      </c>
      <c r="AB18">
        <f t="shared" ca="1" si="8"/>
        <v>100000</v>
      </c>
      <c r="AC18">
        <f t="shared" ca="1" si="9"/>
        <v>3</v>
      </c>
      <c r="AD18">
        <f ca="1">IF(COUNTIF($AC$3:AC17,AC18)&gt;0,COUNTIF($AC$3:AC17,AC18)+AC18,AC18)</f>
        <v>15</v>
      </c>
      <c r="AE18" t="str">
        <f t="shared" ca="1" si="10"/>
        <v>Flatiron15</v>
      </c>
      <c r="AG18">
        <f t="shared" si="21"/>
        <v>15</v>
      </c>
      <c r="AH18" t="str">
        <f t="shared" ca="1" si="22"/>
        <v>Chelsea</v>
      </c>
      <c r="AI18" t="str">
        <f t="shared" ca="1" si="11"/>
        <v>Chelsea15</v>
      </c>
      <c r="AJ18">
        <f t="shared" ca="1" si="12"/>
        <v>100000</v>
      </c>
      <c r="AK18">
        <f t="shared" ca="1" si="13"/>
        <v>6</v>
      </c>
      <c r="AL18">
        <f ca="1">IF(COUNTIF($AK$3:AK17,AK18)&gt;0,COUNTIF($AK$3:AK17,AK18)+AK18,AK18)</f>
        <v>15</v>
      </c>
      <c r="AM18" t="str">
        <f t="shared" ca="1" si="14"/>
        <v>Chelsea15</v>
      </c>
      <c r="AO18">
        <f t="shared" si="23"/>
        <v>15</v>
      </c>
      <c r="AP18" t="str">
        <f t="shared" ca="1" si="24"/>
        <v>Soho</v>
      </c>
      <c r="AQ18" t="str">
        <f t="shared" ca="1" si="15"/>
        <v>Soho15</v>
      </c>
      <c r="AR18">
        <f t="shared" ca="1" si="16"/>
        <v>100000</v>
      </c>
      <c r="AS18">
        <f t="shared" ca="1" si="17"/>
        <v>4</v>
      </c>
      <c r="AT18">
        <f ca="1">IF(COUNTIF($AS$3:AS17,AS18)&gt;0,COUNTIF($AS$3:AS17,AS18)+AS18,AS18)</f>
        <v>15</v>
      </c>
      <c r="AU18" t="str">
        <f t="shared" ca="1" si="18"/>
        <v>Soho15</v>
      </c>
    </row>
    <row r="19" spans="1:47">
      <c r="A19" s="38">
        <f t="shared" si="2"/>
        <v>9</v>
      </c>
      <c r="B19" s="38" t="str">
        <f t="shared" si="0"/>
        <v>East Village9</v>
      </c>
      <c r="C19" s="38">
        <f ca="1">IF(F19='Inputs and Outputs'!$H$11,1,IF(F19='Inputs and Outputs'!$H$17,2,IF(F19='Inputs and Outputs'!$H$23,3,0)))</f>
        <v>0</v>
      </c>
      <c r="D19" s="38" t="b">
        <f t="shared" ca="1" si="3"/>
        <v>0</v>
      </c>
      <c r="E19">
        <f>'Apartment Listings'!B19</f>
        <v>16</v>
      </c>
      <c r="F19" s="33" t="str">
        <f>'Apartment Listings'!C19</f>
        <v>East Village</v>
      </c>
      <c r="G19" s="33">
        <f>VLOOKUP(E19,'Apartment Listings'!B19:N168,13,0)</f>
        <v>53033</v>
      </c>
      <c r="H19" t="str">
        <f>IF(AND('Apartment Listings'!D19&gt;'Financial Worksheet'!$H$5,'Apartment Listings'!D19&lt;'Financial Worksheet'!$H$4),"Y","N")</f>
        <v>Y</v>
      </c>
      <c r="I19">
        <f>IF('Inputs and Outputs'!$I$8='Apartment Listings'!D19,'Apartment Scores'!$I$1,0)</f>
        <v>0</v>
      </c>
      <c r="J19">
        <f>IF('Apartment Listings'!F19&gt;='Inputs and Outputs'!$D$36,1,0)</f>
        <v>0</v>
      </c>
      <c r="K19">
        <f>IF('Apartment Listings'!G19&gt;='Inputs and Outputs'!$D$37,1,0)</f>
        <v>1</v>
      </c>
      <c r="L19">
        <f>IF('Apartment Listings'!H19='Inputs and Outputs'!$D$38,1,0)</f>
        <v>1</v>
      </c>
      <c r="M19">
        <f>IF('Apartment Listings'!I19='Inputs and Outputs'!$D$39,1,0)</f>
        <v>1</v>
      </c>
      <c r="N19">
        <f>IF('Apartment Listings'!J19='Inputs and Outputs'!$D$40,1,0)</f>
        <v>1</v>
      </c>
      <c r="O19">
        <f>IF('Apartment Listings'!K19='Inputs and Outputs'!$D$41,1,0)</f>
        <v>1</v>
      </c>
      <c r="P19">
        <f>IF('Apartment Listings'!L19='Inputs and Outputs'!$D$42,1,0)</f>
        <v>0</v>
      </c>
      <c r="Q19">
        <f>IF('Apartment Listings'!M19='Inputs and Outputs'!$D$43,1,0)</f>
        <v>0</v>
      </c>
      <c r="R19">
        <f t="shared" si="4"/>
        <v>0</v>
      </c>
      <c r="T19" s="38">
        <f t="shared" si="5"/>
        <v>9</v>
      </c>
      <c r="U19" s="44">
        <f t="shared" si="6"/>
        <v>27</v>
      </c>
      <c r="W19" t="str">
        <f t="shared" si="1"/>
        <v>East Village27</v>
      </c>
      <c r="Y19">
        <f t="shared" si="19"/>
        <v>16</v>
      </c>
      <c r="Z19" t="str">
        <f t="shared" ca="1" si="20"/>
        <v>Flatiron</v>
      </c>
      <c r="AA19" t="str">
        <f t="shared" ca="1" si="7"/>
        <v>Flatiron16</v>
      </c>
      <c r="AB19">
        <f t="shared" ca="1" si="8"/>
        <v>100000</v>
      </c>
      <c r="AC19">
        <f t="shared" ca="1" si="9"/>
        <v>3</v>
      </c>
      <c r="AD19">
        <f ca="1">IF(COUNTIF($AC$3:AC18,AC19)&gt;0,COUNTIF($AC$3:AC18,AC19)+AC19,AC19)</f>
        <v>16</v>
      </c>
      <c r="AE19" t="str">
        <f t="shared" ca="1" si="10"/>
        <v>Flatiron16</v>
      </c>
      <c r="AG19">
        <f t="shared" si="21"/>
        <v>16</v>
      </c>
      <c r="AH19" t="str">
        <f t="shared" ca="1" si="22"/>
        <v>Chelsea</v>
      </c>
      <c r="AI19" t="str">
        <f t="shared" ca="1" si="11"/>
        <v>Chelsea16</v>
      </c>
      <c r="AJ19">
        <f t="shared" ca="1" si="12"/>
        <v>100000</v>
      </c>
      <c r="AK19">
        <f t="shared" ca="1" si="13"/>
        <v>6</v>
      </c>
      <c r="AL19">
        <f ca="1">IF(COUNTIF($AK$3:AK18,AK19)&gt;0,COUNTIF($AK$3:AK18,AK19)+AK19,AK19)</f>
        <v>16</v>
      </c>
      <c r="AM19" t="str">
        <f t="shared" ca="1" si="14"/>
        <v>Chelsea16</v>
      </c>
      <c r="AO19">
        <f t="shared" si="23"/>
        <v>16</v>
      </c>
      <c r="AP19" t="str">
        <f t="shared" ca="1" si="24"/>
        <v>Soho</v>
      </c>
      <c r="AQ19" t="str">
        <f t="shared" ca="1" si="15"/>
        <v>Soho16</v>
      </c>
      <c r="AR19">
        <f t="shared" ca="1" si="16"/>
        <v>100000</v>
      </c>
      <c r="AS19">
        <f t="shared" ca="1" si="17"/>
        <v>4</v>
      </c>
      <c r="AT19">
        <f ca="1">IF(COUNTIF($AS$3:AS18,AS19)&gt;0,COUNTIF($AS$3:AS18,AS19)+AS19,AS19)</f>
        <v>16</v>
      </c>
      <c r="AU19" t="str">
        <f t="shared" ca="1" si="18"/>
        <v>Soho16</v>
      </c>
    </row>
    <row r="20" spans="1:47">
      <c r="A20" s="38">
        <f t="shared" si="2"/>
        <v>10</v>
      </c>
      <c r="B20" s="38" t="str">
        <f t="shared" si="0"/>
        <v>East Village10</v>
      </c>
      <c r="C20" s="38">
        <f ca="1">IF(F20='Inputs and Outputs'!$H$11,1,IF(F20='Inputs and Outputs'!$H$17,2,IF(F20='Inputs and Outputs'!$H$23,3,0)))</f>
        <v>0</v>
      </c>
      <c r="D20" s="38" t="b">
        <f t="shared" ca="1" si="3"/>
        <v>0</v>
      </c>
      <c r="E20">
        <f>'Apartment Listings'!B20</f>
        <v>17</v>
      </c>
      <c r="F20" s="33" t="str">
        <f>'Apartment Listings'!C20</f>
        <v>East Village</v>
      </c>
      <c r="G20" s="33">
        <f>VLOOKUP(E20,'Apartment Listings'!B20:N169,13,0)</f>
        <v>50414</v>
      </c>
      <c r="H20" t="str">
        <f>IF(AND('Apartment Listings'!D20&gt;'Financial Worksheet'!$H$5,'Apartment Listings'!D20&lt;'Financial Worksheet'!$H$4),"Y","N")</f>
        <v>Y</v>
      </c>
      <c r="I20">
        <f>IF('Inputs and Outputs'!$I$8='Apartment Listings'!D20,'Apartment Scores'!$I$1,0)</f>
        <v>0</v>
      </c>
      <c r="J20">
        <f>IF('Apartment Listings'!F20&gt;='Inputs and Outputs'!$D$36,1,0)</f>
        <v>0</v>
      </c>
      <c r="K20">
        <f>IF('Apartment Listings'!G20&gt;='Inputs and Outputs'!$D$37,1,0)</f>
        <v>1</v>
      </c>
      <c r="L20">
        <f>IF('Apartment Listings'!H20='Inputs and Outputs'!$D$38,1,0)</f>
        <v>0</v>
      </c>
      <c r="M20">
        <f>IF('Apartment Listings'!I20='Inputs and Outputs'!$D$39,1,0)</f>
        <v>0</v>
      </c>
      <c r="N20">
        <f>IF('Apartment Listings'!J20='Inputs and Outputs'!$D$40,1,0)</f>
        <v>0</v>
      </c>
      <c r="O20">
        <f>IF('Apartment Listings'!K20='Inputs and Outputs'!$D$41,1,0)</f>
        <v>0</v>
      </c>
      <c r="P20">
        <f>IF('Apartment Listings'!L20='Inputs and Outputs'!$D$42,1,0)</f>
        <v>0</v>
      </c>
      <c r="Q20">
        <f>IF('Apartment Listings'!M20='Inputs and Outputs'!$D$43,1,0)</f>
        <v>0</v>
      </c>
      <c r="R20">
        <f t="shared" si="4"/>
        <v>0</v>
      </c>
      <c r="T20" s="38">
        <f t="shared" si="5"/>
        <v>5</v>
      </c>
      <c r="U20" s="44">
        <f t="shared" si="6"/>
        <v>92</v>
      </c>
      <c r="W20" t="str">
        <f t="shared" si="1"/>
        <v>East Village92</v>
      </c>
      <c r="Y20">
        <f t="shared" si="19"/>
        <v>17</v>
      </c>
      <c r="Z20" t="str">
        <f t="shared" ca="1" si="20"/>
        <v>Flatiron</v>
      </c>
      <c r="AA20" t="str">
        <f t="shared" ca="1" si="7"/>
        <v>Flatiron17</v>
      </c>
      <c r="AB20">
        <f t="shared" ca="1" si="8"/>
        <v>100000</v>
      </c>
      <c r="AC20">
        <f t="shared" ca="1" si="9"/>
        <v>3</v>
      </c>
      <c r="AD20">
        <f ca="1">IF(COUNTIF($AC$3:AC19,AC20)&gt;0,COUNTIF($AC$3:AC19,AC20)+AC20,AC20)</f>
        <v>17</v>
      </c>
      <c r="AE20" t="str">
        <f t="shared" ca="1" si="10"/>
        <v>Flatiron17</v>
      </c>
      <c r="AG20">
        <f t="shared" si="21"/>
        <v>17</v>
      </c>
      <c r="AH20" t="str">
        <f t="shared" ca="1" si="22"/>
        <v>Chelsea</v>
      </c>
      <c r="AI20" t="str">
        <f t="shared" ca="1" si="11"/>
        <v>Chelsea17</v>
      </c>
      <c r="AJ20">
        <f t="shared" ca="1" si="12"/>
        <v>100000</v>
      </c>
      <c r="AK20">
        <f t="shared" ca="1" si="13"/>
        <v>6</v>
      </c>
      <c r="AL20">
        <f ca="1">IF(COUNTIF($AK$3:AK19,AK20)&gt;0,COUNTIF($AK$3:AK19,AK20)+AK20,AK20)</f>
        <v>17</v>
      </c>
      <c r="AM20" t="str">
        <f t="shared" ca="1" si="14"/>
        <v>Chelsea17</v>
      </c>
      <c r="AO20">
        <f t="shared" si="23"/>
        <v>17</v>
      </c>
      <c r="AP20" t="str">
        <f t="shared" ca="1" si="24"/>
        <v>Soho</v>
      </c>
      <c r="AQ20" t="str">
        <f t="shared" ca="1" si="15"/>
        <v>Soho17</v>
      </c>
      <c r="AR20">
        <f t="shared" ca="1" si="16"/>
        <v>100000</v>
      </c>
      <c r="AS20">
        <f t="shared" ca="1" si="17"/>
        <v>4</v>
      </c>
      <c r="AT20">
        <f ca="1">IF(COUNTIF($AS$3:AS19,AS20)&gt;0,COUNTIF($AS$3:AS19,AS20)+AS20,AS20)</f>
        <v>17</v>
      </c>
      <c r="AU20" t="str">
        <f t="shared" ca="1" si="18"/>
        <v>Soho17</v>
      </c>
    </row>
    <row r="21" spans="1:47">
      <c r="A21" s="38">
        <f t="shared" si="2"/>
        <v>1</v>
      </c>
      <c r="B21" s="38" t="str">
        <f t="shared" si="0"/>
        <v>Flatiron1</v>
      </c>
      <c r="C21" s="38">
        <f ca="1">IF(F21='Inputs and Outputs'!$H$11,1,IF(F21='Inputs and Outputs'!$H$17,2,IF(F21='Inputs and Outputs'!$H$23,3,0)))</f>
        <v>1</v>
      </c>
      <c r="D21" s="38" t="str">
        <f t="shared" ca="1" si="3"/>
        <v>Flatiron3</v>
      </c>
      <c r="E21">
        <f>'Apartment Listings'!B21</f>
        <v>18</v>
      </c>
      <c r="F21" s="33" t="str">
        <f>'Apartment Listings'!C21</f>
        <v>Flatiron</v>
      </c>
      <c r="G21" s="33">
        <f>VLOOKUP(E21,'Apartment Listings'!B21:N170,13,0)</f>
        <v>98943</v>
      </c>
      <c r="H21" t="str">
        <f>IF(AND('Apartment Listings'!D21&gt;'Financial Worksheet'!$H$5,'Apartment Listings'!D21&lt;'Financial Worksheet'!$H$4),"Y","N")</f>
        <v>N</v>
      </c>
      <c r="I21">
        <f>IF('Inputs and Outputs'!$I$8='Apartment Listings'!D21,'Apartment Scores'!$I$1,0)</f>
        <v>0</v>
      </c>
      <c r="J21">
        <f>IF('Apartment Listings'!F21&gt;='Inputs and Outputs'!$D$36,1,0)</f>
        <v>0</v>
      </c>
      <c r="K21">
        <f>IF('Apartment Listings'!G21&gt;='Inputs and Outputs'!$D$37,1,0)</f>
        <v>1</v>
      </c>
      <c r="L21">
        <f>IF('Apartment Listings'!H21='Inputs and Outputs'!$D$38,1,0)</f>
        <v>0</v>
      </c>
      <c r="M21">
        <f>IF('Apartment Listings'!I21='Inputs and Outputs'!$D$39,1,0)</f>
        <v>1</v>
      </c>
      <c r="N21">
        <f>IF('Apartment Listings'!J21='Inputs and Outputs'!$D$40,1,0)</f>
        <v>1</v>
      </c>
      <c r="O21">
        <f>IF('Apartment Listings'!K21='Inputs and Outputs'!$D$41,1,0)</f>
        <v>1</v>
      </c>
      <c r="P21">
        <f>IF('Apartment Listings'!L21='Inputs and Outputs'!$D$42,1,0)</f>
        <v>0</v>
      </c>
      <c r="Q21">
        <f>IF('Apartment Listings'!M21='Inputs and Outputs'!$D$43,1,0)</f>
        <v>1</v>
      </c>
      <c r="R21">
        <f t="shared" si="4"/>
        <v>0</v>
      </c>
      <c r="T21" s="38">
        <f t="shared" si="5"/>
        <v>2</v>
      </c>
      <c r="U21" s="44">
        <f t="shared" si="6"/>
        <v>117</v>
      </c>
      <c r="W21" t="str">
        <f t="shared" si="1"/>
        <v>Flatiron117</v>
      </c>
      <c r="Y21">
        <f t="shared" si="19"/>
        <v>18</v>
      </c>
      <c r="Z21" t="str">
        <f t="shared" ca="1" si="20"/>
        <v>Flatiron</v>
      </c>
      <c r="AA21" t="str">
        <f t="shared" ca="1" si="7"/>
        <v>Flatiron18</v>
      </c>
      <c r="AB21">
        <f t="shared" ca="1" si="8"/>
        <v>100000</v>
      </c>
      <c r="AC21">
        <f t="shared" ca="1" si="9"/>
        <v>3</v>
      </c>
      <c r="AD21">
        <f ca="1">IF(COUNTIF($AC$3:AC20,AC21)&gt;0,COUNTIF($AC$3:AC20,AC21)+AC21,AC21)</f>
        <v>18</v>
      </c>
      <c r="AE21" t="str">
        <f t="shared" ca="1" si="10"/>
        <v>Flatiron18</v>
      </c>
      <c r="AG21">
        <f t="shared" si="21"/>
        <v>18</v>
      </c>
      <c r="AH21" t="str">
        <f t="shared" ca="1" si="22"/>
        <v>Chelsea</v>
      </c>
      <c r="AI21" t="str">
        <f t="shared" ca="1" si="11"/>
        <v>Chelsea18</v>
      </c>
      <c r="AJ21">
        <f t="shared" ca="1" si="12"/>
        <v>100000</v>
      </c>
      <c r="AK21">
        <f t="shared" ca="1" si="13"/>
        <v>6</v>
      </c>
      <c r="AL21">
        <f ca="1">IF(COUNTIF($AK$3:AK20,AK21)&gt;0,COUNTIF($AK$3:AK20,AK21)+AK21,AK21)</f>
        <v>18</v>
      </c>
      <c r="AM21" t="str">
        <f t="shared" ca="1" si="14"/>
        <v>Chelsea18</v>
      </c>
      <c r="AO21">
        <f t="shared" si="23"/>
        <v>18</v>
      </c>
      <c r="AP21" t="str">
        <f t="shared" ca="1" si="24"/>
        <v>Soho</v>
      </c>
      <c r="AQ21" t="str">
        <f t="shared" ca="1" si="15"/>
        <v>Soho18</v>
      </c>
      <c r="AR21">
        <f t="shared" ca="1" si="16"/>
        <v>100000</v>
      </c>
      <c r="AS21">
        <f t="shared" ca="1" si="17"/>
        <v>4</v>
      </c>
      <c r="AT21">
        <f ca="1">IF(COUNTIF($AS$3:AS20,AS21)&gt;0,COUNTIF($AS$3:AS20,AS21)+AS21,AS21)</f>
        <v>18</v>
      </c>
      <c r="AU21" t="str">
        <f t="shared" ca="1" si="18"/>
        <v>Soho18</v>
      </c>
    </row>
    <row r="22" spans="1:47">
      <c r="A22" s="38">
        <f t="shared" si="2"/>
        <v>2</v>
      </c>
      <c r="B22" s="38" t="str">
        <f t="shared" si="0"/>
        <v>Flatiron2</v>
      </c>
      <c r="C22" s="38">
        <f ca="1">IF(F22='Inputs and Outputs'!$H$11,1,IF(F22='Inputs and Outputs'!$H$17,2,IF(F22='Inputs and Outputs'!$H$23,3,0)))</f>
        <v>1</v>
      </c>
      <c r="D22" s="38" t="str">
        <f t="shared" ca="1" si="3"/>
        <v>Flatiron4</v>
      </c>
      <c r="E22">
        <f>'Apartment Listings'!B22</f>
        <v>19</v>
      </c>
      <c r="F22" s="33" t="str">
        <f>'Apartment Listings'!C22</f>
        <v>Flatiron</v>
      </c>
      <c r="G22" s="33">
        <f>VLOOKUP(E22,'Apartment Listings'!B22:N171,13,0)</f>
        <v>95086</v>
      </c>
      <c r="H22" t="str">
        <f>IF(AND('Apartment Listings'!D22&gt;'Financial Worksheet'!$H$5,'Apartment Listings'!D22&lt;'Financial Worksheet'!$H$4),"Y","N")</f>
        <v>N</v>
      </c>
      <c r="I22">
        <f>IF('Inputs and Outputs'!$I$8='Apartment Listings'!D22,'Apartment Scores'!$I$1,0)</f>
        <v>0</v>
      </c>
      <c r="J22">
        <f>IF('Apartment Listings'!F22&gt;='Inputs and Outputs'!$D$36,1,0)</f>
        <v>1</v>
      </c>
      <c r="K22">
        <f>IF('Apartment Listings'!G22&gt;='Inputs and Outputs'!$D$37,1,0)</f>
        <v>1</v>
      </c>
      <c r="L22">
        <f>IF('Apartment Listings'!H22='Inputs and Outputs'!$D$38,1,0)</f>
        <v>1</v>
      </c>
      <c r="M22">
        <f>IF('Apartment Listings'!I22='Inputs and Outputs'!$D$39,1,0)</f>
        <v>1</v>
      </c>
      <c r="N22">
        <f>IF('Apartment Listings'!J22='Inputs and Outputs'!$D$40,1,0)</f>
        <v>1</v>
      </c>
      <c r="O22">
        <f>IF('Apartment Listings'!K22='Inputs and Outputs'!$D$41,1,0)</f>
        <v>1</v>
      </c>
      <c r="P22">
        <f>IF('Apartment Listings'!L22='Inputs and Outputs'!$D$42,1,0)</f>
        <v>0</v>
      </c>
      <c r="Q22">
        <f>IF('Apartment Listings'!M22='Inputs and Outputs'!$D$43,1,0)</f>
        <v>1</v>
      </c>
      <c r="R22">
        <f t="shared" si="4"/>
        <v>0</v>
      </c>
      <c r="T22" s="38">
        <f t="shared" si="5"/>
        <v>4</v>
      </c>
      <c r="U22" s="44">
        <f t="shared" si="6"/>
        <v>99</v>
      </c>
      <c r="W22" t="str">
        <f t="shared" si="1"/>
        <v>Flatiron99</v>
      </c>
      <c r="Y22">
        <f t="shared" si="19"/>
        <v>19</v>
      </c>
      <c r="Z22" t="str">
        <f t="shared" ca="1" si="20"/>
        <v>Flatiron</v>
      </c>
      <c r="AA22" t="str">
        <f t="shared" ca="1" si="7"/>
        <v>Flatiron19</v>
      </c>
      <c r="AB22">
        <f t="shared" ca="1" si="8"/>
        <v>100000</v>
      </c>
      <c r="AC22">
        <f t="shared" ca="1" si="9"/>
        <v>3</v>
      </c>
      <c r="AD22">
        <f ca="1">IF(COUNTIF($AC$3:AC21,AC22)&gt;0,COUNTIF($AC$3:AC21,AC22)+AC22,AC22)</f>
        <v>19</v>
      </c>
      <c r="AE22" t="str">
        <f t="shared" ca="1" si="10"/>
        <v>Flatiron19</v>
      </c>
      <c r="AG22">
        <f t="shared" si="21"/>
        <v>19</v>
      </c>
      <c r="AH22" t="str">
        <f t="shared" ca="1" si="22"/>
        <v>Chelsea</v>
      </c>
      <c r="AI22" t="str">
        <f t="shared" ca="1" si="11"/>
        <v>Chelsea19</v>
      </c>
      <c r="AJ22">
        <f t="shared" ca="1" si="12"/>
        <v>100000</v>
      </c>
      <c r="AK22">
        <f t="shared" ca="1" si="13"/>
        <v>6</v>
      </c>
      <c r="AL22">
        <f ca="1">IF(COUNTIF($AK$3:AK21,AK22)&gt;0,COUNTIF($AK$3:AK21,AK22)+AK22,AK22)</f>
        <v>19</v>
      </c>
      <c r="AM22" t="str">
        <f t="shared" ca="1" si="14"/>
        <v>Chelsea19</v>
      </c>
      <c r="AO22">
        <f t="shared" si="23"/>
        <v>19</v>
      </c>
      <c r="AP22" t="str">
        <f t="shared" ca="1" si="24"/>
        <v>Soho</v>
      </c>
      <c r="AQ22" t="str">
        <f t="shared" ca="1" si="15"/>
        <v>Soho19</v>
      </c>
      <c r="AR22">
        <f t="shared" ca="1" si="16"/>
        <v>100000</v>
      </c>
      <c r="AS22">
        <f t="shared" ca="1" si="17"/>
        <v>4</v>
      </c>
      <c r="AT22">
        <f ca="1">IF(COUNTIF($AS$3:AS21,AS22)&gt;0,COUNTIF($AS$3:AS21,AS22)+AS22,AS22)</f>
        <v>19</v>
      </c>
      <c r="AU22" t="str">
        <f t="shared" ca="1" si="18"/>
        <v>Soho19</v>
      </c>
    </row>
    <row r="23" spans="1:47">
      <c r="A23" s="38">
        <f t="shared" si="2"/>
        <v>3</v>
      </c>
      <c r="B23" s="38" t="str">
        <f t="shared" si="0"/>
        <v>Flatiron3</v>
      </c>
      <c r="C23" s="38">
        <f ca="1">IF(F23='Inputs and Outputs'!$H$11,1,IF(F23='Inputs and Outputs'!$H$17,2,IF(F23='Inputs and Outputs'!$H$23,3,0)))</f>
        <v>1</v>
      </c>
      <c r="D23" s="38" t="str">
        <f t="shared" ca="1" si="3"/>
        <v>Flatiron2</v>
      </c>
      <c r="E23">
        <f>'Apartment Listings'!B23</f>
        <v>20</v>
      </c>
      <c r="F23" s="33" t="str">
        <f>'Apartment Listings'!C23</f>
        <v>Flatiron</v>
      </c>
      <c r="G23" s="33">
        <f>VLOOKUP(E23,'Apartment Listings'!B23:N172,13,0)</f>
        <v>52161</v>
      </c>
      <c r="H23" t="str">
        <f>IF(AND('Apartment Listings'!D23&gt;'Financial Worksheet'!$H$5,'Apartment Listings'!D23&lt;'Financial Worksheet'!$H$4),"Y","N")</f>
        <v>Y</v>
      </c>
      <c r="I23">
        <f>IF('Inputs and Outputs'!$I$8='Apartment Listings'!D23,'Apartment Scores'!$I$1,0)</f>
        <v>0</v>
      </c>
      <c r="J23">
        <f>IF('Apartment Listings'!F23&gt;='Inputs and Outputs'!$D$36,1,0)</f>
        <v>0</v>
      </c>
      <c r="K23">
        <f>IF('Apartment Listings'!G23&gt;='Inputs and Outputs'!$D$37,1,0)</f>
        <v>1</v>
      </c>
      <c r="L23">
        <f>IF('Apartment Listings'!H23='Inputs and Outputs'!$D$38,1,0)</f>
        <v>0</v>
      </c>
      <c r="M23">
        <f>IF('Apartment Listings'!I23='Inputs and Outputs'!$D$39,1,0)</f>
        <v>0</v>
      </c>
      <c r="N23">
        <f>IF('Apartment Listings'!J23='Inputs and Outputs'!$D$40,1,0)</f>
        <v>0</v>
      </c>
      <c r="O23">
        <f>IF('Apartment Listings'!K23='Inputs and Outputs'!$D$41,1,0)</f>
        <v>0</v>
      </c>
      <c r="P23">
        <f>IF('Apartment Listings'!L23='Inputs and Outputs'!$D$42,1,0)</f>
        <v>1</v>
      </c>
      <c r="Q23">
        <f>IF('Apartment Listings'!M23='Inputs and Outputs'!$D$43,1,0)</f>
        <v>0</v>
      </c>
      <c r="R23">
        <f t="shared" si="4"/>
        <v>0</v>
      </c>
      <c r="T23" s="38">
        <f t="shared" si="5"/>
        <v>6</v>
      </c>
      <c r="U23" s="44">
        <f t="shared" si="6"/>
        <v>79</v>
      </c>
      <c r="W23" t="str">
        <f t="shared" si="1"/>
        <v>Flatiron79</v>
      </c>
      <c r="Y23">
        <f t="shared" si="19"/>
        <v>20</v>
      </c>
      <c r="Z23" t="str">
        <f t="shared" ca="1" si="20"/>
        <v>Flatiron</v>
      </c>
      <c r="AA23" t="str">
        <f t="shared" ca="1" si="7"/>
        <v>Flatiron20</v>
      </c>
      <c r="AB23">
        <f t="shared" ca="1" si="8"/>
        <v>100000</v>
      </c>
      <c r="AC23">
        <f t="shared" ca="1" si="9"/>
        <v>3</v>
      </c>
      <c r="AD23">
        <f ca="1">IF(COUNTIF($AC$3:AC22,AC23)&gt;0,COUNTIF($AC$3:AC22,AC23)+AC23,AC23)</f>
        <v>20</v>
      </c>
      <c r="AE23" t="str">
        <f t="shared" ca="1" si="10"/>
        <v>Flatiron20</v>
      </c>
      <c r="AG23">
        <f t="shared" si="21"/>
        <v>20</v>
      </c>
      <c r="AH23" t="str">
        <f t="shared" ca="1" si="22"/>
        <v>Chelsea</v>
      </c>
      <c r="AI23" t="str">
        <f t="shared" ca="1" si="11"/>
        <v>Chelsea20</v>
      </c>
      <c r="AJ23">
        <f t="shared" ca="1" si="12"/>
        <v>100000</v>
      </c>
      <c r="AK23">
        <f t="shared" ca="1" si="13"/>
        <v>6</v>
      </c>
      <c r="AL23">
        <f ca="1">IF(COUNTIF($AK$3:AK22,AK23)&gt;0,COUNTIF($AK$3:AK22,AK23)+AK23,AK23)</f>
        <v>20</v>
      </c>
      <c r="AM23" t="str">
        <f t="shared" ca="1" si="14"/>
        <v>Chelsea20</v>
      </c>
      <c r="AO23">
        <f t="shared" si="23"/>
        <v>20</v>
      </c>
      <c r="AP23" t="str">
        <f t="shared" ca="1" si="24"/>
        <v>Soho</v>
      </c>
      <c r="AQ23" t="str">
        <f t="shared" ca="1" si="15"/>
        <v>Soho20</v>
      </c>
      <c r="AR23">
        <f t="shared" ca="1" si="16"/>
        <v>100000</v>
      </c>
      <c r="AS23">
        <f t="shared" ca="1" si="17"/>
        <v>4</v>
      </c>
      <c r="AT23">
        <f ca="1">IF(COUNTIF($AS$3:AS22,AS23)&gt;0,COUNTIF($AS$3:AS22,AS23)+AS23,AS23)</f>
        <v>20</v>
      </c>
      <c r="AU23" t="str">
        <f t="shared" ca="1" si="18"/>
        <v>Soho20</v>
      </c>
    </row>
    <row r="24" spans="1:47">
      <c r="A24" s="38">
        <f t="shared" si="2"/>
        <v>4</v>
      </c>
      <c r="B24" s="38" t="str">
        <f t="shared" si="0"/>
        <v>Flatiron4</v>
      </c>
      <c r="C24" s="38">
        <f ca="1">IF(F24='Inputs and Outputs'!$H$11,1,IF(F24='Inputs and Outputs'!$H$17,2,IF(F24='Inputs and Outputs'!$H$23,3,0)))</f>
        <v>1</v>
      </c>
      <c r="D24" s="38" t="str">
        <f t="shared" ca="1" si="3"/>
        <v>Flatiron1</v>
      </c>
      <c r="E24">
        <f>'Apartment Listings'!B24</f>
        <v>21</v>
      </c>
      <c r="F24" s="33" t="str">
        <f>'Apartment Listings'!C24</f>
        <v>Flatiron</v>
      </c>
      <c r="G24" s="33">
        <f>VLOOKUP(E24,'Apartment Listings'!B24:N173,13,0)</f>
        <v>49532</v>
      </c>
      <c r="H24" t="str">
        <f>IF(AND('Apartment Listings'!D24&gt;'Financial Worksheet'!$H$5,'Apartment Listings'!D24&lt;'Financial Worksheet'!$H$4),"Y","N")</f>
        <v>Y</v>
      </c>
      <c r="I24">
        <f>IF('Inputs and Outputs'!$I$8='Apartment Listings'!D24,'Apartment Scores'!$I$1,0)</f>
        <v>2</v>
      </c>
      <c r="J24">
        <f>IF('Apartment Listings'!F24&gt;='Inputs and Outputs'!$D$36,1,0)</f>
        <v>0</v>
      </c>
      <c r="K24">
        <f>IF('Apartment Listings'!G24&gt;='Inputs and Outputs'!$D$37,1,0)</f>
        <v>1</v>
      </c>
      <c r="L24">
        <f>IF('Apartment Listings'!H24='Inputs and Outputs'!$D$38,1,0)</f>
        <v>0</v>
      </c>
      <c r="M24">
        <f>IF('Apartment Listings'!I24='Inputs and Outputs'!$D$39,1,0)</f>
        <v>0</v>
      </c>
      <c r="N24">
        <f>IF('Apartment Listings'!J24='Inputs and Outputs'!$D$40,1,0)</f>
        <v>0</v>
      </c>
      <c r="O24">
        <f>IF('Apartment Listings'!K24='Inputs and Outputs'!$D$41,1,0)</f>
        <v>0</v>
      </c>
      <c r="P24">
        <f>IF('Apartment Listings'!L24='Inputs and Outputs'!$D$42,1,0)</f>
        <v>1</v>
      </c>
      <c r="Q24">
        <f>IF('Apartment Listings'!M24='Inputs and Outputs'!$D$43,1,0)</f>
        <v>0</v>
      </c>
      <c r="R24">
        <f t="shared" si="4"/>
        <v>0</v>
      </c>
      <c r="T24" s="38">
        <f t="shared" si="5"/>
        <v>8</v>
      </c>
      <c r="U24" s="44">
        <f t="shared" si="6"/>
        <v>48</v>
      </c>
      <c r="W24" t="str">
        <f t="shared" si="1"/>
        <v>Flatiron48</v>
      </c>
    </row>
    <row r="25" spans="1:47">
      <c r="A25" s="38">
        <f t="shared" si="2"/>
        <v>5</v>
      </c>
      <c r="B25" s="38" t="str">
        <f t="shared" si="0"/>
        <v>Flatiron5</v>
      </c>
      <c r="C25" s="38">
        <f ca="1">IF(F25='Inputs and Outputs'!$H$11,1,IF(F25='Inputs and Outputs'!$H$17,2,IF(F25='Inputs and Outputs'!$H$23,3,0)))</f>
        <v>1</v>
      </c>
      <c r="D25" s="38" t="str">
        <f t="shared" ca="1" si="3"/>
        <v>Flatiron5</v>
      </c>
      <c r="E25">
        <f>'Apartment Listings'!B25</f>
        <v>22</v>
      </c>
      <c r="F25" s="33" t="str">
        <f>'Apartment Listings'!C25</f>
        <v>Flatiron</v>
      </c>
      <c r="G25" s="33">
        <f>VLOOKUP(E25,'Apartment Listings'!B25:N174,13,0)</f>
        <v>99270</v>
      </c>
      <c r="H25" t="str">
        <f>IF(AND('Apartment Listings'!D25&gt;'Financial Worksheet'!$H$5,'Apartment Listings'!D25&lt;'Financial Worksheet'!$H$4),"Y","N")</f>
        <v>N</v>
      </c>
      <c r="I25">
        <f>IF('Inputs and Outputs'!$I$8='Apartment Listings'!D25,'Apartment Scores'!$I$1,0)</f>
        <v>0</v>
      </c>
      <c r="J25">
        <f>IF('Apartment Listings'!F25&gt;='Inputs and Outputs'!$D$36,1,0)</f>
        <v>0</v>
      </c>
      <c r="K25">
        <f>IF('Apartment Listings'!G25&gt;='Inputs and Outputs'!$D$37,1,0)</f>
        <v>1</v>
      </c>
      <c r="L25">
        <f>IF('Apartment Listings'!H25='Inputs and Outputs'!$D$38,1,0)</f>
        <v>1</v>
      </c>
      <c r="M25">
        <f>IF('Apartment Listings'!I25='Inputs and Outputs'!$D$39,1,0)</f>
        <v>1</v>
      </c>
      <c r="N25">
        <f>IF('Apartment Listings'!J25='Inputs and Outputs'!$D$40,1,0)</f>
        <v>1</v>
      </c>
      <c r="O25">
        <f>IF('Apartment Listings'!K25='Inputs and Outputs'!$D$41,1,0)</f>
        <v>1</v>
      </c>
      <c r="P25">
        <f>IF('Apartment Listings'!L25='Inputs and Outputs'!$D$42,1,0)</f>
        <v>0</v>
      </c>
      <c r="Q25">
        <f>IF('Apartment Listings'!M25='Inputs and Outputs'!$D$43,1,0)</f>
        <v>1</v>
      </c>
      <c r="R25">
        <f t="shared" si="4"/>
        <v>0</v>
      </c>
      <c r="T25" s="38">
        <f t="shared" si="5"/>
        <v>3</v>
      </c>
      <c r="U25" s="44">
        <f t="shared" si="6"/>
        <v>107</v>
      </c>
      <c r="W25" t="str">
        <f t="shared" si="1"/>
        <v>Flatiron107</v>
      </c>
    </row>
    <row r="26" spans="1:47">
      <c r="A26" s="38">
        <f t="shared" si="2"/>
        <v>1</v>
      </c>
      <c r="B26" s="38" t="str">
        <f t="shared" si="0"/>
        <v>Gramercy Park1</v>
      </c>
      <c r="C26" s="38">
        <f ca="1">IF(F26='Inputs and Outputs'!$H$11,1,IF(F26='Inputs and Outputs'!$H$17,2,IF(F26='Inputs and Outputs'!$H$23,3,0)))</f>
        <v>0</v>
      </c>
      <c r="D26" s="38" t="b">
        <f t="shared" ca="1" si="3"/>
        <v>0</v>
      </c>
      <c r="E26">
        <f>'Apartment Listings'!B26</f>
        <v>23</v>
      </c>
      <c r="F26" s="33" t="str">
        <f>'Apartment Listings'!C26</f>
        <v>Gramercy Park</v>
      </c>
      <c r="G26" s="33">
        <f>VLOOKUP(E26,'Apartment Listings'!B26:N175,13,0)</f>
        <v>59148</v>
      </c>
      <c r="H26" t="str">
        <f>IF(AND('Apartment Listings'!D26&gt;'Financial Worksheet'!$H$5,'Apartment Listings'!D26&lt;'Financial Worksheet'!$H$4),"Y","N")</f>
        <v>Y</v>
      </c>
      <c r="I26">
        <f>IF('Inputs and Outputs'!$I$8='Apartment Listings'!D26,'Apartment Scores'!$I$1,0)</f>
        <v>0</v>
      </c>
      <c r="J26">
        <f>IF('Apartment Listings'!F26&gt;='Inputs and Outputs'!$D$36,1,0)</f>
        <v>0</v>
      </c>
      <c r="K26">
        <f>IF('Apartment Listings'!G26&gt;='Inputs and Outputs'!$D$37,1,0)</f>
        <v>1</v>
      </c>
      <c r="L26">
        <f>IF('Apartment Listings'!H26='Inputs and Outputs'!$D$38,1,0)</f>
        <v>0</v>
      </c>
      <c r="M26">
        <f>IF('Apartment Listings'!I26='Inputs and Outputs'!$D$39,1,0)</f>
        <v>0</v>
      </c>
      <c r="N26">
        <f>IF('Apartment Listings'!J26='Inputs and Outputs'!$D$40,1,0)</f>
        <v>0</v>
      </c>
      <c r="O26">
        <f>IF('Apartment Listings'!K26='Inputs and Outputs'!$D$41,1,0)</f>
        <v>0</v>
      </c>
      <c r="P26">
        <f>IF('Apartment Listings'!L26='Inputs and Outputs'!$D$42,1,0)</f>
        <v>1</v>
      </c>
      <c r="Q26">
        <f>IF('Apartment Listings'!M26='Inputs and Outputs'!$D$43,1,0)</f>
        <v>0</v>
      </c>
      <c r="R26">
        <f t="shared" si="4"/>
        <v>0</v>
      </c>
      <c r="T26" s="38">
        <f t="shared" si="5"/>
        <v>6</v>
      </c>
      <c r="U26" s="44">
        <f t="shared" si="6"/>
        <v>79</v>
      </c>
      <c r="W26" t="str">
        <f t="shared" si="1"/>
        <v>Gramercy Park79</v>
      </c>
    </row>
    <row r="27" spans="1:47">
      <c r="A27" s="38">
        <f t="shared" si="2"/>
        <v>2</v>
      </c>
      <c r="B27" s="38" t="str">
        <f t="shared" si="0"/>
        <v>Gramercy Park2</v>
      </c>
      <c r="C27" s="38">
        <f ca="1">IF(F27='Inputs and Outputs'!$H$11,1,IF(F27='Inputs and Outputs'!$H$17,2,IF(F27='Inputs and Outputs'!$H$23,3,0)))</f>
        <v>0</v>
      </c>
      <c r="D27" s="38" t="b">
        <f t="shared" ca="1" si="3"/>
        <v>0</v>
      </c>
      <c r="E27">
        <f>'Apartment Listings'!B27</f>
        <v>24</v>
      </c>
      <c r="F27" s="33" t="str">
        <f>'Apartment Listings'!C27</f>
        <v>Gramercy Park</v>
      </c>
      <c r="G27" s="33">
        <f>VLOOKUP(E27,'Apartment Listings'!B27:N176,13,0)</f>
        <v>90607</v>
      </c>
      <c r="H27" t="str">
        <f>IF(AND('Apartment Listings'!D27&gt;'Financial Worksheet'!$H$5,'Apartment Listings'!D27&lt;'Financial Worksheet'!$H$4),"Y","N")</f>
        <v>Y</v>
      </c>
      <c r="I27">
        <f>IF('Inputs and Outputs'!$I$8='Apartment Listings'!D27,'Apartment Scores'!$I$1,0)</f>
        <v>0</v>
      </c>
      <c r="J27">
        <f>IF('Apartment Listings'!F27&gt;='Inputs and Outputs'!$D$36,1,0)</f>
        <v>0</v>
      </c>
      <c r="K27">
        <f>IF('Apartment Listings'!G27&gt;='Inputs and Outputs'!$D$37,1,0)</f>
        <v>1</v>
      </c>
      <c r="L27">
        <f>IF('Apartment Listings'!H27='Inputs and Outputs'!$D$38,1,0)</f>
        <v>0</v>
      </c>
      <c r="M27">
        <f>IF('Apartment Listings'!I27='Inputs and Outputs'!$D$39,1,0)</f>
        <v>1</v>
      </c>
      <c r="N27">
        <f>IF('Apartment Listings'!J27='Inputs and Outputs'!$D$40,1,0)</f>
        <v>1</v>
      </c>
      <c r="O27">
        <f>IF('Apartment Listings'!K27='Inputs and Outputs'!$D$41,1,0)</f>
        <v>1</v>
      </c>
      <c r="P27">
        <f>IF('Apartment Listings'!L27='Inputs and Outputs'!$D$42,1,0)</f>
        <v>0</v>
      </c>
      <c r="Q27">
        <f>IF('Apartment Listings'!M27='Inputs and Outputs'!$D$43,1,0)</f>
        <v>1</v>
      </c>
      <c r="R27">
        <f t="shared" si="4"/>
        <v>0</v>
      </c>
      <c r="T27" s="38">
        <f t="shared" si="5"/>
        <v>9</v>
      </c>
      <c r="U27" s="44">
        <f t="shared" si="6"/>
        <v>27</v>
      </c>
      <c r="W27" t="str">
        <f t="shared" si="1"/>
        <v>Gramercy Park27</v>
      </c>
    </row>
    <row r="28" spans="1:47">
      <c r="A28" s="38">
        <f t="shared" si="2"/>
        <v>3</v>
      </c>
      <c r="B28" s="38" t="str">
        <f t="shared" si="0"/>
        <v>Gramercy Park3</v>
      </c>
      <c r="C28" s="38">
        <f ca="1">IF(F28='Inputs and Outputs'!$H$11,1,IF(F28='Inputs and Outputs'!$H$17,2,IF(F28='Inputs and Outputs'!$H$23,3,0)))</f>
        <v>0</v>
      </c>
      <c r="D28" s="38" t="b">
        <f t="shared" ca="1" si="3"/>
        <v>0</v>
      </c>
      <c r="E28">
        <f>'Apartment Listings'!B28</f>
        <v>25</v>
      </c>
      <c r="F28" s="33" t="str">
        <f>'Apartment Listings'!C28</f>
        <v>Gramercy Park</v>
      </c>
      <c r="G28" s="33">
        <f>VLOOKUP(E28,'Apartment Listings'!B28:N177,13,0)</f>
        <v>52680</v>
      </c>
      <c r="H28" t="str">
        <f>IF(AND('Apartment Listings'!D28&gt;'Financial Worksheet'!$H$5,'Apartment Listings'!D28&lt;'Financial Worksheet'!$H$4),"Y","N")</f>
        <v>Y</v>
      </c>
      <c r="I28">
        <f>IF('Inputs and Outputs'!$I$8='Apartment Listings'!D28,'Apartment Scores'!$I$1,0)</f>
        <v>0</v>
      </c>
      <c r="J28">
        <f>IF('Apartment Listings'!F28&gt;='Inputs and Outputs'!$D$36,1,0)</f>
        <v>0</v>
      </c>
      <c r="K28">
        <f>IF('Apartment Listings'!G28&gt;='Inputs and Outputs'!$D$37,1,0)</f>
        <v>1</v>
      </c>
      <c r="L28">
        <f>IF('Apartment Listings'!H28='Inputs and Outputs'!$D$38,1,0)</f>
        <v>0</v>
      </c>
      <c r="M28">
        <f>IF('Apartment Listings'!I28='Inputs and Outputs'!$D$39,1,0)</f>
        <v>0</v>
      </c>
      <c r="N28">
        <f>IF('Apartment Listings'!J28='Inputs and Outputs'!$D$40,1,0)</f>
        <v>0</v>
      </c>
      <c r="O28">
        <f>IF('Apartment Listings'!K28='Inputs and Outputs'!$D$41,1,0)</f>
        <v>0</v>
      </c>
      <c r="P28">
        <f>IF('Apartment Listings'!L28='Inputs and Outputs'!$D$42,1,0)</f>
        <v>1</v>
      </c>
      <c r="Q28">
        <f>IF('Apartment Listings'!M28='Inputs and Outputs'!$D$43,1,0)</f>
        <v>0</v>
      </c>
      <c r="R28">
        <f t="shared" si="4"/>
        <v>0</v>
      </c>
      <c r="T28" s="38">
        <f t="shared" si="5"/>
        <v>6</v>
      </c>
      <c r="U28" s="44">
        <f t="shared" si="6"/>
        <v>79</v>
      </c>
      <c r="W28" t="str">
        <f t="shared" si="1"/>
        <v>Gramercy Park79</v>
      </c>
    </row>
    <row r="29" spans="1:47">
      <c r="A29" s="38">
        <f t="shared" si="2"/>
        <v>4</v>
      </c>
      <c r="B29" s="38" t="str">
        <f t="shared" si="0"/>
        <v>Gramercy Park4</v>
      </c>
      <c r="C29" s="38">
        <f ca="1">IF(F29='Inputs and Outputs'!$H$11,1,IF(F29='Inputs and Outputs'!$H$17,2,IF(F29='Inputs and Outputs'!$H$23,3,0)))</f>
        <v>0</v>
      </c>
      <c r="D29" s="38" t="b">
        <f t="shared" ca="1" si="3"/>
        <v>0</v>
      </c>
      <c r="E29">
        <f>'Apartment Listings'!B29</f>
        <v>26</v>
      </c>
      <c r="F29" s="33" t="str">
        <f>'Apartment Listings'!C29</f>
        <v>Gramercy Park</v>
      </c>
      <c r="G29" s="33">
        <f>VLOOKUP(E29,'Apartment Listings'!B29:N178,13,0)</f>
        <v>25960</v>
      </c>
      <c r="H29" t="str">
        <f>IF(AND('Apartment Listings'!D29&gt;'Financial Worksheet'!$H$5,'Apartment Listings'!D29&lt;'Financial Worksheet'!$H$4),"Y","N")</f>
        <v>Y</v>
      </c>
      <c r="I29">
        <f>IF('Inputs and Outputs'!$I$8='Apartment Listings'!D29,'Apartment Scores'!$I$1,0)</f>
        <v>0</v>
      </c>
      <c r="J29">
        <f>IF('Apartment Listings'!F29&gt;='Inputs and Outputs'!$D$36,1,0)</f>
        <v>0</v>
      </c>
      <c r="K29">
        <f>IF('Apartment Listings'!G29&gt;='Inputs and Outputs'!$D$37,1,0)</f>
        <v>1</v>
      </c>
      <c r="L29">
        <f>IF('Apartment Listings'!H29='Inputs and Outputs'!$D$38,1,0)</f>
        <v>0</v>
      </c>
      <c r="M29">
        <f>IF('Apartment Listings'!I29='Inputs and Outputs'!$D$39,1,0)</f>
        <v>0</v>
      </c>
      <c r="N29">
        <f>IF('Apartment Listings'!J29='Inputs and Outputs'!$D$40,1,0)</f>
        <v>0</v>
      </c>
      <c r="O29">
        <f>IF('Apartment Listings'!K29='Inputs and Outputs'!$D$41,1,0)</f>
        <v>0</v>
      </c>
      <c r="P29">
        <f>IF('Apartment Listings'!L29='Inputs and Outputs'!$D$42,1,0)</f>
        <v>1</v>
      </c>
      <c r="Q29">
        <f>IF('Apartment Listings'!M29='Inputs and Outputs'!$D$43,1,0)</f>
        <v>0</v>
      </c>
      <c r="R29">
        <f t="shared" si="4"/>
        <v>0</v>
      </c>
      <c r="T29" s="38">
        <f t="shared" si="5"/>
        <v>6</v>
      </c>
      <c r="U29" s="44">
        <f t="shared" si="6"/>
        <v>79</v>
      </c>
      <c r="W29" t="str">
        <f t="shared" si="1"/>
        <v>Gramercy Park79</v>
      </c>
    </row>
    <row r="30" spans="1:47">
      <c r="A30" s="38">
        <f t="shared" si="2"/>
        <v>5</v>
      </c>
      <c r="B30" s="38" t="str">
        <f t="shared" si="0"/>
        <v>Gramercy Park5</v>
      </c>
      <c r="C30" s="38">
        <f ca="1">IF(F30='Inputs and Outputs'!$H$11,1,IF(F30='Inputs and Outputs'!$H$17,2,IF(F30='Inputs and Outputs'!$H$23,3,0)))</f>
        <v>0</v>
      </c>
      <c r="D30" s="38" t="b">
        <f t="shared" ca="1" si="3"/>
        <v>0</v>
      </c>
      <c r="E30">
        <f>'Apartment Listings'!B30</f>
        <v>27</v>
      </c>
      <c r="F30" s="33" t="str">
        <f>'Apartment Listings'!C30</f>
        <v>Gramercy Park</v>
      </c>
      <c r="G30" s="33">
        <f>VLOOKUP(E30,'Apartment Listings'!B30:N179,13,0)</f>
        <v>91235</v>
      </c>
      <c r="H30" t="str">
        <f>IF(AND('Apartment Listings'!D30&gt;'Financial Worksheet'!$H$5,'Apartment Listings'!D30&lt;'Financial Worksheet'!$H$4),"Y","N")</f>
        <v>N</v>
      </c>
      <c r="I30">
        <f>IF('Inputs and Outputs'!$I$8='Apartment Listings'!D30,'Apartment Scores'!$I$1,0)</f>
        <v>0</v>
      </c>
      <c r="J30">
        <f>IF('Apartment Listings'!F30&gt;='Inputs and Outputs'!$D$36,1,0)</f>
        <v>1</v>
      </c>
      <c r="K30">
        <f>IF('Apartment Listings'!G30&gt;='Inputs and Outputs'!$D$37,1,0)</f>
        <v>1</v>
      </c>
      <c r="L30">
        <f>IF('Apartment Listings'!H30='Inputs and Outputs'!$D$38,1,0)</f>
        <v>1</v>
      </c>
      <c r="M30">
        <f>IF('Apartment Listings'!I30='Inputs and Outputs'!$D$39,1,0)</f>
        <v>1</v>
      </c>
      <c r="N30">
        <f>IF('Apartment Listings'!J30='Inputs and Outputs'!$D$40,1,0)</f>
        <v>1</v>
      </c>
      <c r="O30">
        <f>IF('Apartment Listings'!K30='Inputs and Outputs'!$D$41,1,0)</f>
        <v>1</v>
      </c>
      <c r="P30">
        <f>IF('Apartment Listings'!L30='Inputs and Outputs'!$D$42,1,0)</f>
        <v>0</v>
      </c>
      <c r="Q30">
        <f>IF('Apartment Listings'!M30='Inputs and Outputs'!$D$43,1,0)</f>
        <v>1</v>
      </c>
      <c r="R30">
        <f t="shared" si="4"/>
        <v>0</v>
      </c>
      <c r="T30" s="38">
        <f t="shared" si="5"/>
        <v>4</v>
      </c>
      <c r="U30" s="44">
        <f t="shared" si="6"/>
        <v>99</v>
      </c>
      <c r="W30" t="str">
        <f t="shared" si="1"/>
        <v>Gramercy Park99</v>
      </c>
    </row>
    <row r="31" spans="1:47">
      <c r="A31" s="38">
        <f t="shared" si="2"/>
        <v>6</v>
      </c>
      <c r="B31" s="38" t="str">
        <f t="shared" si="0"/>
        <v>Gramercy Park6</v>
      </c>
      <c r="C31" s="38">
        <f ca="1">IF(F31='Inputs and Outputs'!$H$11,1,IF(F31='Inputs and Outputs'!$H$17,2,IF(F31='Inputs and Outputs'!$H$23,3,0)))</f>
        <v>0</v>
      </c>
      <c r="D31" s="38" t="b">
        <f t="shared" ca="1" si="3"/>
        <v>0</v>
      </c>
      <c r="E31">
        <f>'Apartment Listings'!B31</f>
        <v>28</v>
      </c>
      <c r="F31" s="33" t="str">
        <f>'Apartment Listings'!C31</f>
        <v>Gramercy Park</v>
      </c>
      <c r="G31" s="33">
        <f>VLOOKUP(E31,'Apartment Listings'!B31:N180,13,0)</f>
        <v>24392</v>
      </c>
      <c r="H31" t="str">
        <f>IF(AND('Apartment Listings'!D31&gt;'Financial Worksheet'!$H$5,'Apartment Listings'!D31&lt;'Financial Worksheet'!$H$4),"Y","N")</f>
        <v>N</v>
      </c>
      <c r="I31">
        <f>IF('Inputs and Outputs'!$I$8='Apartment Listings'!D31,'Apartment Scores'!$I$1,0)</f>
        <v>0</v>
      </c>
      <c r="J31">
        <f>IF('Apartment Listings'!F31&gt;='Inputs and Outputs'!$D$36,1,0)</f>
        <v>1</v>
      </c>
      <c r="K31">
        <f>IF('Apartment Listings'!G31&gt;='Inputs and Outputs'!$D$37,1,0)</f>
        <v>1</v>
      </c>
      <c r="L31">
        <f>IF('Apartment Listings'!H31='Inputs and Outputs'!$D$38,1,0)</f>
        <v>0</v>
      </c>
      <c r="M31">
        <f>IF('Apartment Listings'!I31='Inputs and Outputs'!$D$39,1,0)</f>
        <v>1</v>
      </c>
      <c r="N31">
        <f>IF('Apartment Listings'!J31='Inputs and Outputs'!$D$40,1,0)</f>
        <v>1</v>
      </c>
      <c r="O31">
        <f>IF('Apartment Listings'!K31='Inputs and Outputs'!$D$41,1,0)</f>
        <v>1</v>
      </c>
      <c r="P31">
        <f>IF('Apartment Listings'!L31='Inputs and Outputs'!$D$42,1,0)</f>
        <v>0</v>
      </c>
      <c r="Q31">
        <f>IF('Apartment Listings'!M31='Inputs and Outputs'!$D$43,1,0)</f>
        <v>1</v>
      </c>
      <c r="R31">
        <f t="shared" si="4"/>
        <v>0</v>
      </c>
      <c r="T31" s="38">
        <f t="shared" si="5"/>
        <v>3</v>
      </c>
      <c r="U31" s="44">
        <f t="shared" si="6"/>
        <v>107</v>
      </c>
      <c r="W31" t="str">
        <f t="shared" si="1"/>
        <v>Gramercy Park107</v>
      </c>
    </row>
    <row r="32" spans="1:47">
      <c r="A32" s="38">
        <f t="shared" si="2"/>
        <v>1</v>
      </c>
      <c r="B32" s="38" t="str">
        <f t="shared" si="0"/>
        <v>Greenwich Village1</v>
      </c>
      <c r="C32" s="38">
        <f ca="1">IF(F32='Inputs and Outputs'!$H$11,1,IF(F32='Inputs and Outputs'!$H$17,2,IF(F32='Inputs and Outputs'!$H$23,3,0)))</f>
        <v>0</v>
      </c>
      <c r="D32" s="38" t="b">
        <f t="shared" ca="1" si="3"/>
        <v>0</v>
      </c>
      <c r="E32">
        <f>'Apartment Listings'!B32</f>
        <v>29</v>
      </c>
      <c r="F32" s="33" t="str">
        <f>'Apartment Listings'!C32</f>
        <v>Greenwich Village</v>
      </c>
      <c r="G32" s="33">
        <f>VLOOKUP(E32,'Apartment Listings'!B32:N181,13,0)</f>
        <v>63997</v>
      </c>
      <c r="H32" t="str">
        <f>IF(AND('Apartment Listings'!D32&gt;'Financial Worksheet'!$H$5,'Apartment Listings'!D32&lt;'Financial Worksheet'!$H$4),"Y","N")</f>
        <v>Y</v>
      </c>
      <c r="I32">
        <f>IF('Inputs and Outputs'!$I$8='Apartment Listings'!D32,'Apartment Scores'!$I$1,0)</f>
        <v>0</v>
      </c>
      <c r="J32">
        <f>IF('Apartment Listings'!F32&gt;='Inputs and Outputs'!$D$36,1,0)</f>
        <v>0</v>
      </c>
      <c r="K32">
        <f>IF('Apartment Listings'!G32&gt;='Inputs and Outputs'!$D$37,1,0)</f>
        <v>1</v>
      </c>
      <c r="L32">
        <f>IF('Apartment Listings'!H32='Inputs and Outputs'!$D$38,1,0)</f>
        <v>0</v>
      </c>
      <c r="M32">
        <f>IF('Apartment Listings'!I32='Inputs and Outputs'!$D$39,1,0)</f>
        <v>0</v>
      </c>
      <c r="N32">
        <f>IF('Apartment Listings'!J32='Inputs and Outputs'!$D$40,1,0)</f>
        <v>0</v>
      </c>
      <c r="O32">
        <f>IF('Apartment Listings'!K32='Inputs and Outputs'!$D$41,1,0)</f>
        <v>0</v>
      </c>
      <c r="P32">
        <f>IF('Apartment Listings'!L32='Inputs and Outputs'!$D$42,1,0)</f>
        <v>1</v>
      </c>
      <c r="Q32">
        <f>IF('Apartment Listings'!M32='Inputs and Outputs'!$D$43,1,0)</f>
        <v>0</v>
      </c>
      <c r="R32">
        <f t="shared" si="4"/>
        <v>0</v>
      </c>
      <c r="T32" s="38">
        <f t="shared" si="5"/>
        <v>6</v>
      </c>
      <c r="U32" s="44">
        <f t="shared" si="6"/>
        <v>79</v>
      </c>
      <c r="W32" t="str">
        <f t="shared" si="1"/>
        <v>Greenwich Village79</v>
      </c>
    </row>
    <row r="33" spans="1:23">
      <c r="A33" s="38">
        <f t="shared" si="2"/>
        <v>2</v>
      </c>
      <c r="B33" s="38" t="str">
        <f t="shared" si="0"/>
        <v>Greenwich Village2</v>
      </c>
      <c r="C33" s="38">
        <f ca="1">IF(F33='Inputs and Outputs'!$H$11,1,IF(F33='Inputs and Outputs'!$H$17,2,IF(F33='Inputs and Outputs'!$H$23,3,0)))</f>
        <v>0</v>
      </c>
      <c r="D33" s="38" t="b">
        <f t="shared" ca="1" si="3"/>
        <v>0</v>
      </c>
      <c r="E33">
        <f>'Apartment Listings'!B33</f>
        <v>30</v>
      </c>
      <c r="F33" s="33" t="str">
        <f>'Apartment Listings'!C33</f>
        <v>Greenwich Village</v>
      </c>
      <c r="G33" s="33">
        <f>VLOOKUP(E33,'Apartment Listings'!B33:N182,13,0)</f>
        <v>29378</v>
      </c>
      <c r="H33" t="str">
        <f>IF(AND('Apartment Listings'!D33&gt;'Financial Worksheet'!$H$5,'Apartment Listings'!D33&lt;'Financial Worksheet'!$H$4),"Y","N")</f>
        <v>Y</v>
      </c>
      <c r="I33">
        <f>IF('Inputs and Outputs'!$I$8='Apartment Listings'!D33,'Apartment Scores'!$I$1,0)</f>
        <v>2</v>
      </c>
      <c r="J33">
        <f>IF('Apartment Listings'!F33&gt;='Inputs and Outputs'!$D$36,1,0)</f>
        <v>0</v>
      </c>
      <c r="K33">
        <f>IF('Apartment Listings'!G33&gt;='Inputs and Outputs'!$D$37,1,0)</f>
        <v>1</v>
      </c>
      <c r="L33">
        <f>IF('Apartment Listings'!H33='Inputs and Outputs'!$D$38,1,0)</f>
        <v>0</v>
      </c>
      <c r="M33">
        <f>IF('Apartment Listings'!I33='Inputs and Outputs'!$D$39,1,0)</f>
        <v>1</v>
      </c>
      <c r="N33">
        <f>IF('Apartment Listings'!J33='Inputs and Outputs'!$D$40,1,0)</f>
        <v>0</v>
      </c>
      <c r="O33">
        <f>IF('Apartment Listings'!K33='Inputs and Outputs'!$D$41,1,0)</f>
        <v>0</v>
      </c>
      <c r="P33">
        <f>IF('Apartment Listings'!L33='Inputs and Outputs'!$D$42,1,0)</f>
        <v>0</v>
      </c>
      <c r="Q33">
        <f>IF('Apartment Listings'!M33='Inputs and Outputs'!$D$43,1,0)</f>
        <v>0</v>
      </c>
      <c r="R33">
        <f t="shared" si="4"/>
        <v>0</v>
      </c>
      <c r="T33" s="38">
        <f t="shared" si="5"/>
        <v>8</v>
      </c>
      <c r="U33" s="44">
        <f t="shared" si="6"/>
        <v>48</v>
      </c>
      <c r="W33" t="str">
        <f t="shared" si="1"/>
        <v>Greenwich Village48</v>
      </c>
    </row>
    <row r="34" spans="1:23">
      <c r="A34" s="38">
        <f t="shared" si="2"/>
        <v>3</v>
      </c>
      <c r="B34" s="38" t="str">
        <f t="shared" si="0"/>
        <v>Greenwich Village3</v>
      </c>
      <c r="C34" s="38">
        <f ca="1">IF(F34='Inputs and Outputs'!$H$11,1,IF(F34='Inputs and Outputs'!$H$17,2,IF(F34='Inputs and Outputs'!$H$23,3,0)))</f>
        <v>0</v>
      </c>
      <c r="D34" s="38" t="b">
        <f t="shared" ca="1" si="3"/>
        <v>0</v>
      </c>
      <c r="E34">
        <f>'Apartment Listings'!B34</f>
        <v>31</v>
      </c>
      <c r="F34" s="33" t="str">
        <f>'Apartment Listings'!C34</f>
        <v>Greenwich Village</v>
      </c>
      <c r="G34" s="33">
        <f>VLOOKUP(E34,'Apartment Listings'!B34:N183,13,0)</f>
        <v>99418</v>
      </c>
      <c r="H34" t="str">
        <f>IF(AND('Apartment Listings'!D34&gt;'Financial Worksheet'!$H$5,'Apartment Listings'!D34&lt;'Financial Worksheet'!$H$4),"Y","N")</f>
        <v>Y</v>
      </c>
      <c r="I34">
        <f>IF('Inputs and Outputs'!$I$8='Apartment Listings'!D34,'Apartment Scores'!$I$1,0)</f>
        <v>0</v>
      </c>
      <c r="J34">
        <f>IF('Apartment Listings'!F34&gt;='Inputs and Outputs'!$D$36,1,0)</f>
        <v>0</v>
      </c>
      <c r="K34">
        <f>IF('Apartment Listings'!G34&gt;='Inputs and Outputs'!$D$37,1,0)</f>
        <v>1</v>
      </c>
      <c r="L34">
        <f>IF('Apartment Listings'!H34='Inputs and Outputs'!$D$38,1,0)</f>
        <v>1</v>
      </c>
      <c r="M34">
        <f>IF('Apartment Listings'!I34='Inputs and Outputs'!$D$39,1,0)</f>
        <v>1</v>
      </c>
      <c r="N34">
        <f>IF('Apartment Listings'!J34='Inputs and Outputs'!$D$40,1,0)</f>
        <v>1</v>
      </c>
      <c r="O34">
        <f>IF('Apartment Listings'!K34='Inputs and Outputs'!$D$41,1,0)</f>
        <v>1</v>
      </c>
      <c r="P34">
        <f>IF('Apartment Listings'!L34='Inputs and Outputs'!$D$42,1,0)</f>
        <v>0</v>
      </c>
      <c r="Q34">
        <f>IF('Apartment Listings'!M34='Inputs and Outputs'!$D$43,1,0)</f>
        <v>1</v>
      </c>
      <c r="R34">
        <f t="shared" si="4"/>
        <v>0</v>
      </c>
      <c r="T34" s="38">
        <f t="shared" si="5"/>
        <v>10</v>
      </c>
      <c r="U34" s="44">
        <f t="shared" si="6"/>
        <v>11</v>
      </c>
      <c r="W34" t="str">
        <f t="shared" si="1"/>
        <v>Greenwich Village11</v>
      </c>
    </row>
    <row r="35" spans="1:23">
      <c r="A35" s="38">
        <f t="shared" si="2"/>
        <v>4</v>
      </c>
      <c r="B35" s="38" t="str">
        <f t="shared" si="0"/>
        <v>Greenwich Village4</v>
      </c>
      <c r="C35" s="38">
        <f ca="1">IF(F35='Inputs and Outputs'!$H$11,1,IF(F35='Inputs and Outputs'!$H$17,2,IF(F35='Inputs and Outputs'!$H$23,3,0)))</f>
        <v>0</v>
      </c>
      <c r="D35" s="38" t="b">
        <f t="shared" ca="1" si="3"/>
        <v>0</v>
      </c>
      <c r="E35">
        <f>'Apartment Listings'!B35</f>
        <v>32</v>
      </c>
      <c r="F35" s="33" t="str">
        <f>'Apartment Listings'!C35</f>
        <v>Greenwich Village</v>
      </c>
      <c r="G35" s="33">
        <f>VLOOKUP(E35,'Apartment Listings'!B35:N184,13,0)</f>
        <v>78733</v>
      </c>
      <c r="H35" t="str">
        <f>IF(AND('Apartment Listings'!D35&gt;'Financial Worksheet'!$H$5,'Apartment Listings'!D35&lt;'Financial Worksheet'!$H$4),"Y","N")</f>
        <v>N</v>
      </c>
      <c r="I35">
        <f>IF('Inputs and Outputs'!$I$8='Apartment Listings'!D35,'Apartment Scores'!$I$1,0)</f>
        <v>0</v>
      </c>
      <c r="J35">
        <f>IF('Apartment Listings'!F35&gt;='Inputs and Outputs'!$D$36,1,0)</f>
        <v>1</v>
      </c>
      <c r="K35">
        <f>IF('Apartment Listings'!G35&gt;='Inputs and Outputs'!$D$37,1,0)</f>
        <v>1</v>
      </c>
      <c r="L35">
        <f>IF('Apartment Listings'!H35='Inputs and Outputs'!$D$38,1,0)</f>
        <v>0</v>
      </c>
      <c r="M35">
        <f>IF('Apartment Listings'!I35='Inputs and Outputs'!$D$39,1,0)</f>
        <v>0</v>
      </c>
      <c r="N35">
        <f>IF('Apartment Listings'!J35='Inputs and Outputs'!$D$40,1,0)</f>
        <v>0</v>
      </c>
      <c r="O35">
        <f>IF('Apartment Listings'!K35='Inputs and Outputs'!$D$41,1,0)</f>
        <v>0</v>
      </c>
      <c r="P35">
        <f>IF('Apartment Listings'!L35='Inputs and Outputs'!$D$42,1,0)</f>
        <v>1</v>
      </c>
      <c r="Q35">
        <f>IF('Apartment Listings'!M35='Inputs and Outputs'!$D$43,1,0)</f>
        <v>0</v>
      </c>
      <c r="R35">
        <f t="shared" si="4"/>
        <v>0</v>
      </c>
      <c r="T35" s="38">
        <f t="shared" si="5"/>
        <v>0</v>
      </c>
      <c r="U35" s="44">
        <f t="shared" si="6"/>
        <v>131</v>
      </c>
      <c r="W35" t="str">
        <f t="shared" si="1"/>
        <v>Greenwich Village131</v>
      </c>
    </row>
    <row r="36" spans="1:23">
      <c r="A36" s="38">
        <f t="shared" si="2"/>
        <v>5</v>
      </c>
      <c r="B36" s="38" t="str">
        <f t="shared" ref="B36:B67" si="25">CONCATENATE(F36,A36)</f>
        <v>Greenwich Village5</v>
      </c>
      <c r="C36" s="38">
        <f ca="1">IF(F36='Inputs and Outputs'!$H$11,1,IF(F36='Inputs and Outputs'!$H$17,2,IF(F36='Inputs and Outputs'!$H$23,3,0)))</f>
        <v>0</v>
      </c>
      <c r="D36" s="38" t="b">
        <f t="shared" ca="1" si="3"/>
        <v>0</v>
      </c>
      <c r="E36">
        <f>'Apartment Listings'!B36</f>
        <v>33</v>
      </c>
      <c r="F36" s="33" t="str">
        <f>'Apartment Listings'!C36</f>
        <v>Greenwich Village</v>
      </c>
      <c r="G36" s="33">
        <f>VLOOKUP(E36,'Apartment Listings'!B36:N185,13,0)</f>
        <v>21533</v>
      </c>
      <c r="H36" t="str">
        <f>IF(AND('Apartment Listings'!D36&gt;'Financial Worksheet'!$H$5,'Apartment Listings'!D36&lt;'Financial Worksheet'!$H$4),"Y","N")</f>
        <v>Y</v>
      </c>
      <c r="I36">
        <f>IF('Inputs and Outputs'!$I$8='Apartment Listings'!D36,'Apartment Scores'!$I$1,0)</f>
        <v>0</v>
      </c>
      <c r="J36">
        <f>IF('Apartment Listings'!F36&gt;='Inputs and Outputs'!$D$36,1,0)</f>
        <v>0</v>
      </c>
      <c r="K36">
        <f>IF('Apartment Listings'!G36&gt;='Inputs and Outputs'!$D$37,1,0)</f>
        <v>1</v>
      </c>
      <c r="L36">
        <f>IF('Apartment Listings'!H36='Inputs and Outputs'!$D$38,1,0)</f>
        <v>0</v>
      </c>
      <c r="M36">
        <f>IF('Apartment Listings'!I36='Inputs and Outputs'!$D$39,1,0)</f>
        <v>0</v>
      </c>
      <c r="N36">
        <f>IF('Apartment Listings'!J36='Inputs and Outputs'!$D$40,1,0)</f>
        <v>0</v>
      </c>
      <c r="O36">
        <f>IF('Apartment Listings'!K36='Inputs and Outputs'!$D$41,1,0)</f>
        <v>0</v>
      </c>
      <c r="P36">
        <f>IF('Apartment Listings'!L36='Inputs and Outputs'!$D$42,1,0)</f>
        <v>0</v>
      </c>
      <c r="Q36">
        <f>IF('Apartment Listings'!M36='Inputs and Outputs'!$D$43,1,0)</f>
        <v>0</v>
      </c>
      <c r="R36">
        <f t="shared" si="4"/>
        <v>0</v>
      </c>
      <c r="T36" s="38">
        <f t="shared" si="5"/>
        <v>5</v>
      </c>
      <c r="U36" s="44">
        <f t="shared" si="6"/>
        <v>92</v>
      </c>
      <c r="W36" t="str">
        <f t="shared" ref="W36:W67" si="26">CONCATENATE(F36,U36)</f>
        <v>Greenwich Village92</v>
      </c>
    </row>
    <row r="37" spans="1:23">
      <c r="A37" s="38">
        <f t="shared" ref="A37:A68" si="27">IF(F37=F36,A36+1,1)</f>
        <v>6</v>
      </c>
      <c r="B37" s="38" t="str">
        <f t="shared" si="25"/>
        <v>Greenwich Village6</v>
      </c>
      <c r="C37" s="38">
        <f ca="1">IF(F37='Inputs and Outputs'!$H$11,1,IF(F37='Inputs and Outputs'!$H$17,2,IF(F37='Inputs and Outputs'!$H$23,3,0)))</f>
        <v>0</v>
      </c>
      <c r="D37" s="38" t="b">
        <f t="shared" ca="1" si="3"/>
        <v>0</v>
      </c>
      <c r="E37">
        <f>'Apartment Listings'!B37</f>
        <v>34</v>
      </c>
      <c r="F37" s="33" t="str">
        <f>'Apartment Listings'!C37</f>
        <v>Greenwich Village</v>
      </c>
      <c r="G37" s="33">
        <f>VLOOKUP(E37,'Apartment Listings'!B37:N186,13,0)</f>
        <v>69368</v>
      </c>
      <c r="H37" t="str">
        <f>IF(AND('Apartment Listings'!D37&gt;'Financial Worksheet'!$H$5,'Apartment Listings'!D37&lt;'Financial Worksheet'!$H$4),"Y","N")</f>
        <v>Y</v>
      </c>
      <c r="I37">
        <f>IF('Inputs and Outputs'!$I$8='Apartment Listings'!D37,'Apartment Scores'!$I$1,0)</f>
        <v>0</v>
      </c>
      <c r="J37">
        <f>IF('Apartment Listings'!F37&gt;='Inputs and Outputs'!$D$36,1,0)</f>
        <v>0</v>
      </c>
      <c r="K37">
        <f>IF('Apartment Listings'!G37&gt;='Inputs and Outputs'!$D$37,1,0)</f>
        <v>1</v>
      </c>
      <c r="L37">
        <f>IF('Apartment Listings'!H37='Inputs and Outputs'!$D$38,1,0)</f>
        <v>0</v>
      </c>
      <c r="M37">
        <f>IF('Apartment Listings'!I37='Inputs and Outputs'!$D$39,1,0)</f>
        <v>1</v>
      </c>
      <c r="N37">
        <f>IF('Apartment Listings'!J37='Inputs and Outputs'!$D$40,1,0)</f>
        <v>0</v>
      </c>
      <c r="O37">
        <f>IF('Apartment Listings'!K37='Inputs and Outputs'!$D$41,1,0)</f>
        <v>0</v>
      </c>
      <c r="P37">
        <f>IF('Apartment Listings'!L37='Inputs and Outputs'!$D$42,1,0)</f>
        <v>1</v>
      </c>
      <c r="Q37">
        <f>IF('Apartment Listings'!M37='Inputs and Outputs'!$D$43,1,0)</f>
        <v>0</v>
      </c>
      <c r="R37">
        <f t="shared" si="4"/>
        <v>0</v>
      </c>
      <c r="T37" s="38">
        <f t="shared" si="5"/>
        <v>7</v>
      </c>
      <c r="U37" s="44">
        <f t="shared" si="6"/>
        <v>61</v>
      </c>
      <c r="W37" t="str">
        <f t="shared" si="26"/>
        <v>Greenwich Village61</v>
      </c>
    </row>
    <row r="38" spans="1:23">
      <c r="A38" s="38">
        <f t="shared" si="27"/>
        <v>7</v>
      </c>
      <c r="B38" s="38" t="str">
        <f t="shared" si="25"/>
        <v>Greenwich Village7</v>
      </c>
      <c r="C38" s="38">
        <f ca="1">IF(F38='Inputs and Outputs'!$H$11,1,IF(F38='Inputs and Outputs'!$H$17,2,IF(F38='Inputs and Outputs'!$H$23,3,0)))</f>
        <v>0</v>
      </c>
      <c r="D38" s="38" t="b">
        <f t="shared" ca="1" si="3"/>
        <v>0</v>
      </c>
      <c r="E38">
        <f>'Apartment Listings'!B38</f>
        <v>35</v>
      </c>
      <c r="F38" s="33" t="str">
        <f>'Apartment Listings'!C38</f>
        <v>Greenwich Village</v>
      </c>
      <c r="G38" s="33">
        <f>VLOOKUP(E38,'Apartment Listings'!B38:N187,13,0)</f>
        <v>44198</v>
      </c>
      <c r="H38" t="str">
        <f>IF(AND('Apartment Listings'!D38&gt;'Financial Worksheet'!$H$5,'Apartment Listings'!D38&lt;'Financial Worksheet'!$H$4),"Y","N")</f>
        <v>N</v>
      </c>
      <c r="I38">
        <f>IF('Inputs and Outputs'!$I$8='Apartment Listings'!D38,'Apartment Scores'!$I$1,0)</f>
        <v>0</v>
      </c>
      <c r="J38">
        <f>IF('Apartment Listings'!F38&gt;='Inputs and Outputs'!$D$36,1,0)</f>
        <v>0</v>
      </c>
      <c r="K38">
        <f>IF('Apartment Listings'!G38&gt;='Inputs and Outputs'!$D$37,1,0)</f>
        <v>1</v>
      </c>
      <c r="L38">
        <f>IF('Apartment Listings'!H38='Inputs and Outputs'!$D$38,1,0)</f>
        <v>0</v>
      </c>
      <c r="M38">
        <f>IF('Apartment Listings'!I38='Inputs and Outputs'!$D$39,1,0)</f>
        <v>0</v>
      </c>
      <c r="N38">
        <f>IF('Apartment Listings'!J38='Inputs and Outputs'!$D$40,1,0)</f>
        <v>0</v>
      </c>
      <c r="O38">
        <f>IF('Apartment Listings'!K38='Inputs and Outputs'!$D$41,1,0)</f>
        <v>0</v>
      </c>
      <c r="P38">
        <f>IF('Apartment Listings'!L38='Inputs and Outputs'!$D$42,1,0)</f>
        <v>1</v>
      </c>
      <c r="Q38">
        <f>IF('Apartment Listings'!M38='Inputs and Outputs'!$D$43,1,0)</f>
        <v>0</v>
      </c>
      <c r="R38">
        <f t="shared" si="4"/>
        <v>0</v>
      </c>
      <c r="T38" s="38">
        <f t="shared" si="5"/>
        <v>-1</v>
      </c>
      <c r="U38" s="44">
        <f t="shared" si="6"/>
        <v>143</v>
      </c>
      <c r="W38" t="str">
        <f t="shared" si="26"/>
        <v>Greenwich Village143</v>
      </c>
    </row>
    <row r="39" spans="1:23">
      <c r="A39" s="38">
        <f t="shared" si="27"/>
        <v>8</v>
      </c>
      <c r="B39" s="38" t="str">
        <f t="shared" si="25"/>
        <v>Greenwich Village8</v>
      </c>
      <c r="C39" s="38">
        <f ca="1">IF(F39='Inputs and Outputs'!$H$11,1,IF(F39='Inputs and Outputs'!$H$17,2,IF(F39='Inputs and Outputs'!$H$23,3,0)))</f>
        <v>0</v>
      </c>
      <c r="D39" s="38" t="b">
        <f t="shared" ca="1" si="3"/>
        <v>0</v>
      </c>
      <c r="E39">
        <f>'Apartment Listings'!B39</f>
        <v>36</v>
      </c>
      <c r="F39" s="33" t="str">
        <f>'Apartment Listings'!C39</f>
        <v>Greenwich Village</v>
      </c>
      <c r="G39" s="33">
        <f>VLOOKUP(E39,'Apartment Listings'!B39:N188,13,0)</f>
        <v>23400</v>
      </c>
      <c r="H39" t="str">
        <f>IF(AND('Apartment Listings'!D39&gt;'Financial Worksheet'!$H$5,'Apartment Listings'!D39&lt;'Financial Worksheet'!$H$4),"Y","N")</f>
        <v>N</v>
      </c>
      <c r="I39">
        <f>IF('Inputs and Outputs'!$I$8='Apartment Listings'!D39,'Apartment Scores'!$I$1,0)</f>
        <v>0</v>
      </c>
      <c r="J39">
        <f>IF('Apartment Listings'!F39&gt;='Inputs and Outputs'!$D$36,1,0)</f>
        <v>0</v>
      </c>
      <c r="K39">
        <f>IF('Apartment Listings'!G39&gt;='Inputs and Outputs'!$D$37,1,0)</f>
        <v>1</v>
      </c>
      <c r="L39">
        <f>IF('Apartment Listings'!H39='Inputs and Outputs'!$D$38,1,0)</f>
        <v>1</v>
      </c>
      <c r="M39">
        <f>IF('Apartment Listings'!I39='Inputs and Outputs'!$D$39,1,0)</f>
        <v>1</v>
      </c>
      <c r="N39">
        <f>IF('Apartment Listings'!J39='Inputs and Outputs'!$D$40,1,0)</f>
        <v>1</v>
      </c>
      <c r="O39">
        <f>IF('Apartment Listings'!K39='Inputs and Outputs'!$D$41,1,0)</f>
        <v>1</v>
      </c>
      <c r="P39">
        <f>IF('Apartment Listings'!L39='Inputs and Outputs'!$D$42,1,0)</f>
        <v>1</v>
      </c>
      <c r="Q39">
        <f>IF('Apartment Listings'!M39='Inputs and Outputs'!$D$43,1,0)</f>
        <v>1</v>
      </c>
      <c r="R39">
        <f t="shared" si="4"/>
        <v>0</v>
      </c>
      <c r="T39" s="38">
        <f t="shared" si="5"/>
        <v>4</v>
      </c>
      <c r="U39" s="44">
        <f t="shared" si="6"/>
        <v>99</v>
      </c>
      <c r="W39" t="str">
        <f t="shared" si="26"/>
        <v>Greenwich Village99</v>
      </c>
    </row>
    <row r="40" spans="1:23">
      <c r="A40" s="38">
        <f t="shared" si="27"/>
        <v>9</v>
      </c>
      <c r="B40" s="38" t="str">
        <f t="shared" si="25"/>
        <v>Greenwich Village9</v>
      </c>
      <c r="C40" s="38">
        <f ca="1">IF(F40='Inputs and Outputs'!$H$11,1,IF(F40='Inputs and Outputs'!$H$17,2,IF(F40='Inputs and Outputs'!$H$23,3,0)))</f>
        <v>0</v>
      </c>
      <c r="D40" s="38" t="b">
        <f t="shared" ca="1" si="3"/>
        <v>0</v>
      </c>
      <c r="E40">
        <f>'Apartment Listings'!B40</f>
        <v>37</v>
      </c>
      <c r="F40" s="33" t="str">
        <f>'Apartment Listings'!C40</f>
        <v>Greenwich Village</v>
      </c>
      <c r="G40" s="33">
        <f>VLOOKUP(E40,'Apartment Listings'!B40:N189,13,0)</f>
        <v>96973</v>
      </c>
      <c r="H40" t="str">
        <f>IF(AND('Apartment Listings'!D40&gt;'Financial Worksheet'!$H$5,'Apartment Listings'!D40&lt;'Financial Worksheet'!$H$4),"Y","N")</f>
        <v>N</v>
      </c>
      <c r="I40">
        <f>IF('Inputs and Outputs'!$I$8='Apartment Listings'!D40,'Apartment Scores'!$I$1,0)</f>
        <v>0</v>
      </c>
      <c r="J40">
        <f>IF('Apartment Listings'!F40&gt;='Inputs and Outputs'!$D$36,1,0)</f>
        <v>1</v>
      </c>
      <c r="K40">
        <f>IF('Apartment Listings'!G40&gt;='Inputs and Outputs'!$D$37,1,0)</f>
        <v>1</v>
      </c>
      <c r="L40">
        <f>IF('Apartment Listings'!H40='Inputs and Outputs'!$D$38,1,0)</f>
        <v>1</v>
      </c>
      <c r="M40">
        <f>IF('Apartment Listings'!I40='Inputs and Outputs'!$D$39,1,0)</f>
        <v>1</v>
      </c>
      <c r="N40">
        <f>IF('Apartment Listings'!J40='Inputs and Outputs'!$D$40,1,0)</f>
        <v>1</v>
      </c>
      <c r="O40">
        <f>IF('Apartment Listings'!K40='Inputs and Outputs'!$D$41,1,0)</f>
        <v>1</v>
      </c>
      <c r="P40">
        <f>IF('Apartment Listings'!L40='Inputs and Outputs'!$D$42,1,0)</f>
        <v>0</v>
      </c>
      <c r="Q40">
        <f>IF('Apartment Listings'!M40='Inputs and Outputs'!$D$43,1,0)</f>
        <v>1</v>
      </c>
      <c r="R40">
        <f t="shared" si="4"/>
        <v>0</v>
      </c>
      <c r="T40" s="38">
        <f t="shared" si="5"/>
        <v>4</v>
      </c>
      <c r="U40" s="44">
        <f t="shared" si="6"/>
        <v>99</v>
      </c>
      <c r="W40" t="str">
        <f t="shared" si="26"/>
        <v>Greenwich Village99</v>
      </c>
    </row>
    <row r="41" spans="1:23">
      <c r="A41" s="38">
        <f t="shared" si="27"/>
        <v>1</v>
      </c>
      <c r="B41" s="38" t="str">
        <f t="shared" si="25"/>
        <v>Noho1</v>
      </c>
      <c r="C41" s="38">
        <f ca="1">IF(F41='Inputs and Outputs'!$H$11,1,IF(F41='Inputs and Outputs'!$H$17,2,IF(F41='Inputs and Outputs'!$H$23,3,0)))</f>
        <v>0</v>
      </c>
      <c r="D41" s="38" t="b">
        <f t="shared" ca="1" si="3"/>
        <v>0</v>
      </c>
      <c r="E41">
        <f>'Apartment Listings'!B41</f>
        <v>38</v>
      </c>
      <c r="F41" s="33" t="str">
        <f>'Apartment Listings'!C41</f>
        <v>Noho</v>
      </c>
      <c r="G41" s="33">
        <f>VLOOKUP(E41,'Apartment Listings'!B41:N190,13,0)</f>
        <v>78736</v>
      </c>
      <c r="H41" t="str">
        <f>IF(AND('Apartment Listings'!D41&gt;'Financial Worksheet'!$H$5,'Apartment Listings'!D41&lt;'Financial Worksheet'!$H$4),"Y","N")</f>
        <v>N</v>
      </c>
      <c r="I41">
        <f>IF('Inputs and Outputs'!$I$8='Apartment Listings'!D41,'Apartment Scores'!$I$1,0)</f>
        <v>0</v>
      </c>
      <c r="J41">
        <f>IF('Apartment Listings'!F41&gt;='Inputs and Outputs'!$D$36,1,0)</f>
        <v>0</v>
      </c>
      <c r="K41">
        <f>IF('Apartment Listings'!G41&gt;='Inputs and Outputs'!$D$37,1,0)</f>
        <v>1</v>
      </c>
      <c r="L41">
        <f>IF('Apartment Listings'!H41='Inputs and Outputs'!$D$38,1,0)</f>
        <v>0</v>
      </c>
      <c r="M41">
        <f>IF('Apartment Listings'!I41='Inputs and Outputs'!$D$39,1,0)</f>
        <v>1</v>
      </c>
      <c r="N41">
        <f>IF('Apartment Listings'!J41='Inputs and Outputs'!$D$40,1,0)</f>
        <v>1</v>
      </c>
      <c r="O41">
        <f>IF('Apartment Listings'!K41='Inputs and Outputs'!$D$41,1,0)</f>
        <v>1</v>
      </c>
      <c r="P41">
        <f>IF('Apartment Listings'!L41='Inputs and Outputs'!$D$42,1,0)</f>
        <v>0</v>
      </c>
      <c r="Q41">
        <f>IF('Apartment Listings'!M41='Inputs and Outputs'!$D$43,1,0)</f>
        <v>1</v>
      </c>
      <c r="R41">
        <f t="shared" si="4"/>
        <v>0</v>
      </c>
      <c r="T41" s="38">
        <f t="shared" si="5"/>
        <v>2</v>
      </c>
      <c r="U41" s="44">
        <f t="shared" si="6"/>
        <v>117</v>
      </c>
      <c r="W41" t="str">
        <f t="shared" si="26"/>
        <v>Noho117</v>
      </c>
    </row>
    <row r="42" spans="1:23">
      <c r="A42" s="38">
        <f t="shared" si="27"/>
        <v>2</v>
      </c>
      <c r="B42" s="38" t="str">
        <f t="shared" si="25"/>
        <v>Noho2</v>
      </c>
      <c r="C42" s="38">
        <f ca="1">IF(F42='Inputs and Outputs'!$H$11,1,IF(F42='Inputs and Outputs'!$H$17,2,IF(F42='Inputs and Outputs'!$H$23,3,0)))</f>
        <v>0</v>
      </c>
      <c r="D42" s="38" t="b">
        <f t="shared" ca="1" si="3"/>
        <v>0</v>
      </c>
      <c r="E42">
        <f>'Apartment Listings'!B42</f>
        <v>39</v>
      </c>
      <c r="F42" s="33" t="str">
        <f>'Apartment Listings'!C42</f>
        <v>Noho</v>
      </c>
      <c r="G42" s="33">
        <f>VLOOKUP(E42,'Apartment Listings'!B42:N191,13,0)</f>
        <v>53344</v>
      </c>
      <c r="H42" t="str">
        <f>IF(AND('Apartment Listings'!D42&gt;'Financial Worksheet'!$H$5,'Apartment Listings'!D42&lt;'Financial Worksheet'!$H$4),"Y","N")</f>
        <v>N</v>
      </c>
      <c r="I42">
        <f>IF('Inputs and Outputs'!$I$8='Apartment Listings'!D42,'Apartment Scores'!$I$1,0)</f>
        <v>0</v>
      </c>
      <c r="J42">
        <f>IF('Apartment Listings'!F42&gt;='Inputs and Outputs'!$D$36,1,0)</f>
        <v>1</v>
      </c>
      <c r="K42">
        <f>IF('Apartment Listings'!G42&gt;='Inputs and Outputs'!$D$37,1,0)</f>
        <v>1</v>
      </c>
      <c r="L42">
        <f>IF('Apartment Listings'!H42='Inputs and Outputs'!$D$38,1,0)</f>
        <v>1</v>
      </c>
      <c r="M42">
        <f>IF('Apartment Listings'!I42='Inputs and Outputs'!$D$39,1,0)</f>
        <v>1</v>
      </c>
      <c r="N42">
        <f>IF('Apartment Listings'!J42='Inputs and Outputs'!$D$40,1,0)</f>
        <v>1</v>
      </c>
      <c r="O42">
        <f>IF('Apartment Listings'!K42='Inputs and Outputs'!$D$41,1,0)</f>
        <v>1</v>
      </c>
      <c r="P42">
        <f>IF('Apartment Listings'!L42='Inputs and Outputs'!$D$42,1,0)</f>
        <v>1</v>
      </c>
      <c r="Q42">
        <f>IF('Apartment Listings'!M42='Inputs and Outputs'!$D$43,1,0)</f>
        <v>0</v>
      </c>
      <c r="R42">
        <f t="shared" si="4"/>
        <v>0</v>
      </c>
      <c r="T42" s="38">
        <f t="shared" si="5"/>
        <v>4</v>
      </c>
      <c r="U42" s="44">
        <f t="shared" si="6"/>
        <v>99</v>
      </c>
      <c r="W42" t="str">
        <f t="shared" si="26"/>
        <v>Noho99</v>
      </c>
    </row>
    <row r="43" spans="1:23">
      <c r="A43" s="38">
        <f t="shared" si="27"/>
        <v>3</v>
      </c>
      <c r="B43" s="38" t="str">
        <f t="shared" si="25"/>
        <v>Noho3</v>
      </c>
      <c r="C43" s="38">
        <f ca="1">IF(F43='Inputs and Outputs'!$H$11,1,IF(F43='Inputs and Outputs'!$H$17,2,IF(F43='Inputs and Outputs'!$H$23,3,0)))</f>
        <v>0</v>
      </c>
      <c r="D43" s="38" t="b">
        <f t="shared" ca="1" si="3"/>
        <v>0</v>
      </c>
      <c r="E43">
        <f>'Apartment Listings'!B43</f>
        <v>40</v>
      </c>
      <c r="F43" s="33" t="str">
        <f>'Apartment Listings'!C43</f>
        <v>Noho</v>
      </c>
      <c r="G43" s="33">
        <f>VLOOKUP(E43,'Apartment Listings'!B43:N192,13,0)</f>
        <v>26665</v>
      </c>
      <c r="H43" t="str">
        <f>IF(AND('Apartment Listings'!D43&gt;'Financial Worksheet'!$H$5,'Apartment Listings'!D43&lt;'Financial Worksheet'!$H$4),"Y","N")</f>
        <v>N</v>
      </c>
      <c r="I43">
        <f>IF('Inputs and Outputs'!$I$8='Apartment Listings'!D43,'Apartment Scores'!$I$1,0)</f>
        <v>0</v>
      </c>
      <c r="J43">
        <f>IF('Apartment Listings'!F43&gt;='Inputs and Outputs'!$D$36,1,0)</f>
        <v>0</v>
      </c>
      <c r="K43">
        <f>IF('Apartment Listings'!G43&gt;='Inputs and Outputs'!$D$37,1,0)</f>
        <v>1</v>
      </c>
      <c r="L43">
        <f>IF('Apartment Listings'!H43='Inputs and Outputs'!$D$38,1,0)</f>
        <v>0</v>
      </c>
      <c r="M43">
        <f>IF('Apartment Listings'!I43='Inputs and Outputs'!$D$39,1,0)</f>
        <v>0</v>
      </c>
      <c r="N43">
        <f>IF('Apartment Listings'!J43='Inputs and Outputs'!$D$40,1,0)</f>
        <v>0</v>
      </c>
      <c r="O43">
        <f>IF('Apartment Listings'!K43='Inputs and Outputs'!$D$41,1,0)</f>
        <v>0</v>
      </c>
      <c r="P43">
        <f>IF('Apartment Listings'!L43='Inputs and Outputs'!$D$42,1,0)</f>
        <v>1</v>
      </c>
      <c r="Q43">
        <f>IF('Apartment Listings'!M43='Inputs and Outputs'!$D$43,1,0)</f>
        <v>0</v>
      </c>
      <c r="R43">
        <f t="shared" si="4"/>
        <v>0</v>
      </c>
      <c r="T43" s="38">
        <f t="shared" si="5"/>
        <v>-1</v>
      </c>
      <c r="U43" s="44">
        <f t="shared" si="6"/>
        <v>143</v>
      </c>
      <c r="W43" t="str">
        <f t="shared" si="26"/>
        <v>Noho143</v>
      </c>
    </row>
    <row r="44" spans="1:23">
      <c r="A44" s="38">
        <f t="shared" si="27"/>
        <v>1</v>
      </c>
      <c r="B44" s="38" t="str">
        <f t="shared" si="25"/>
        <v>Stuyvesant Town1</v>
      </c>
      <c r="C44" s="38">
        <f ca="1">IF(F44='Inputs and Outputs'!$H$11,1,IF(F44='Inputs and Outputs'!$H$17,2,IF(F44='Inputs and Outputs'!$H$23,3,0)))</f>
        <v>0</v>
      </c>
      <c r="D44" s="38" t="b">
        <f t="shared" ca="1" si="3"/>
        <v>0</v>
      </c>
      <c r="E44">
        <f>'Apartment Listings'!B44</f>
        <v>41</v>
      </c>
      <c r="F44" s="33" t="str">
        <f>'Apartment Listings'!C44</f>
        <v>Stuyvesant Town</v>
      </c>
      <c r="G44" s="33">
        <f>VLOOKUP(E44,'Apartment Listings'!B44:N193,13,0)</f>
        <v>61433</v>
      </c>
      <c r="H44" t="str">
        <f>IF(AND('Apartment Listings'!D44&gt;'Financial Worksheet'!$H$5,'Apartment Listings'!D44&lt;'Financial Worksheet'!$H$4),"Y","N")</f>
        <v>Y</v>
      </c>
      <c r="I44">
        <f>IF('Inputs and Outputs'!$I$8='Apartment Listings'!D44,'Apartment Scores'!$I$1,0)</f>
        <v>0</v>
      </c>
      <c r="J44">
        <f>IF('Apartment Listings'!F44&gt;='Inputs and Outputs'!$D$36,1,0)</f>
        <v>0</v>
      </c>
      <c r="K44">
        <f>IF('Apartment Listings'!G44&gt;='Inputs and Outputs'!$D$37,1,0)</f>
        <v>1</v>
      </c>
      <c r="L44">
        <f>IF('Apartment Listings'!H44='Inputs and Outputs'!$D$38,1,0)</f>
        <v>1</v>
      </c>
      <c r="M44">
        <f>IF('Apartment Listings'!I44='Inputs and Outputs'!$D$39,1,0)</f>
        <v>1</v>
      </c>
      <c r="N44">
        <f>IF('Apartment Listings'!J44='Inputs and Outputs'!$D$40,1,0)</f>
        <v>1</v>
      </c>
      <c r="O44">
        <f>IF('Apartment Listings'!K44='Inputs and Outputs'!$D$41,1,0)</f>
        <v>0</v>
      </c>
      <c r="P44">
        <f>IF('Apartment Listings'!L44='Inputs and Outputs'!$D$42,1,0)</f>
        <v>0</v>
      </c>
      <c r="Q44">
        <f>IF('Apartment Listings'!M44='Inputs and Outputs'!$D$43,1,0)</f>
        <v>1</v>
      </c>
      <c r="R44">
        <f t="shared" si="4"/>
        <v>0</v>
      </c>
      <c r="T44" s="38">
        <f t="shared" si="5"/>
        <v>9</v>
      </c>
      <c r="U44" s="44">
        <f t="shared" si="6"/>
        <v>27</v>
      </c>
      <c r="W44" t="str">
        <f t="shared" si="26"/>
        <v>Stuyvesant Town27</v>
      </c>
    </row>
    <row r="45" spans="1:23">
      <c r="A45" s="38">
        <f t="shared" si="27"/>
        <v>2</v>
      </c>
      <c r="B45" s="38" t="str">
        <f t="shared" si="25"/>
        <v>Stuyvesant Town2</v>
      </c>
      <c r="C45" s="38">
        <f ca="1">IF(F45='Inputs and Outputs'!$H$11,1,IF(F45='Inputs and Outputs'!$H$17,2,IF(F45='Inputs and Outputs'!$H$23,3,0)))</f>
        <v>0</v>
      </c>
      <c r="D45" s="38" t="b">
        <f t="shared" ca="1" si="3"/>
        <v>0</v>
      </c>
      <c r="E45">
        <f>'Apartment Listings'!B45</f>
        <v>42</v>
      </c>
      <c r="F45" s="33" t="str">
        <f>'Apartment Listings'!C45</f>
        <v>Stuyvesant Town</v>
      </c>
      <c r="G45" s="33">
        <f>VLOOKUP(E45,'Apartment Listings'!B45:N194,13,0)</f>
        <v>32685</v>
      </c>
      <c r="H45" t="str">
        <f>IF(AND('Apartment Listings'!D45&gt;'Financial Worksheet'!$H$5,'Apartment Listings'!D45&lt;'Financial Worksheet'!$H$4),"Y","N")</f>
        <v>Y</v>
      </c>
      <c r="I45">
        <f>IF('Inputs and Outputs'!$I$8='Apartment Listings'!D45,'Apartment Scores'!$I$1,0)</f>
        <v>0</v>
      </c>
      <c r="J45">
        <f>IF('Apartment Listings'!F45&gt;='Inputs and Outputs'!$D$36,1,0)</f>
        <v>0</v>
      </c>
      <c r="K45">
        <f>IF('Apartment Listings'!G45&gt;='Inputs and Outputs'!$D$37,1,0)</f>
        <v>1</v>
      </c>
      <c r="L45">
        <f>IF('Apartment Listings'!H45='Inputs and Outputs'!$D$38,1,0)</f>
        <v>0</v>
      </c>
      <c r="M45">
        <f>IF('Apartment Listings'!I45='Inputs and Outputs'!$D$39,1,0)</f>
        <v>0</v>
      </c>
      <c r="N45">
        <f>IF('Apartment Listings'!J45='Inputs and Outputs'!$D$40,1,0)</f>
        <v>0</v>
      </c>
      <c r="O45">
        <f>IF('Apartment Listings'!K45='Inputs and Outputs'!$D$41,1,0)</f>
        <v>0</v>
      </c>
      <c r="P45">
        <f>IF('Apartment Listings'!L45='Inputs and Outputs'!$D$42,1,0)</f>
        <v>1</v>
      </c>
      <c r="Q45">
        <f>IF('Apartment Listings'!M45='Inputs and Outputs'!$D$43,1,0)</f>
        <v>0</v>
      </c>
      <c r="R45">
        <f t="shared" si="4"/>
        <v>0</v>
      </c>
      <c r="T45" s="38">
        <f t="shared" si="5"/>
        <v>6</v>
      </c>
      <c r="U45" s="44">
        <f t="shared" si="6"/>
        <v>79</v>
      </c>
      <c r="W45" t="str">
        <f t="shared" si="26"/>
        <v>Stuyvesant Town79</v>
      </c>
    </row>
    <row r="46" spans="1:23">
      <c r="A46" s="38">
        <f t="shared" si="27"/>
        <v>1</v>
      </c>
      <c r="B46" s="38" t="str">
        <f t="shared" si="25"/>
        <v>West Village1</v>
      </c>
      <c r="C46" s="38">
        <f ca="1">IF(F46='Inputs and Outputs'!$H$11,1,IF(F46='Inputs and Outputs'!$H$17,2,IF(F46='Inputs and Outputs'!$H$23,3,0)))</f>
        <v>0</v>
      </c>
      <c r="D46" s="38" t="b">
        <f t="shared" ca="1" si="3"/>
        <v>0</v>
      </c>
      <c r="E46">
        <f>'Apartment Listings'!B46</f>
        <v>43</v>
      </c>
      <c r="F46" s="33" t="str">
        <f>'Apartment Listings'!C46</f>
        <v>West Village</v>
      </c>
      <c r="G46" s="33">
        <f>VLOOKUP(E46,'Apartment Listings'!B46:N195,13,0)</f>
        <v>56368</v>
      </c>
      <c r="H46" t="str">
        <f>IF(AND('Apartment Listings'!D46&gt;'Financial Worksheet'!$H$5,'Apartment Listings'!D46&lt;'Financial Worksheet'!$H$4),"Y","N")</f>
        <v>N</v>
      </c>
      <c r="I46">
        <f>IF('Inputs and Outputs'!$I$8='Apartment Listings'!D46,'Apartment Scores'!$I$1,0)</f>
        <v>0</v>
      </c>
      <c r="J46">
        <f>IF('Apartment Listings'!F46&gt;='Inputs and Outputs'!$D$36,1,0)</f>
        <v>0</v>
      </c>
      <c r="K46">
        <f>IF('Apartment Listings'!G46&gt;='Inputs and Outputs'!$D$37,1,0)</f>
        <v>1</v>
      </c>
      <c r="L46">
        <f>IF('Apartment Listings'!H46='Inputs and Outputs'!$D$38,1,0)</f>
        <v>1</v>
      </c>
      <c r="M46">
        <f>IF('Apartment Listings'!I46='Inputs and Outputs'!$D$39,1,0)</f>
        <v>1</v>
      </c>
      <c r="N46">
        <f>IF('Apartment Listings'!J46='Inputs and Outputs'!$D$40,1,0)</f>
        <v>0</v>
      </c>
      <c r="O46">
        <f>IF('Apartment Listings'!K46='Inputs and Outputs'!$D$41,1,0)</f>
        <v>0</v>
      </c>
      <c r="P46">
        <f>IF('Apartment Listings'!L46='Inputs and Outputs'!$D$42,1,0)</f>
        <v>0</v>
      </c>
      <c r="Q46">
        <f>IF('Apartment Listings'!M46='Inputs and Outputs'!$D$43,1,0)</f>
        <v>0</v>
      </c>
      <c r="R46">
        <f t="shared" si="4"/>
        <v>0</v>
      </c>
      <c r="T46" s="38">
        <f t="shared" si="5"/>
        <v>0</v>
      </c>
      <c r="U46" s="44">
        <f t="shared" si="6"/>
        <v>131</v>
      </c>
      <c r="W46" t="str">
        <f t="shared" si="26"/>
        <v>West Village131</v>
      </c>
    </row>
    <row r="47" spans="1:23">
      <c r="A47" s="38">
        <f t="shared" si="27"/>
        <v>2</v>
      </c>
      <c r="B47" s="38" t="str">
        <f t="shared" si="25"/>
        <v>West Village2</v>
      </c>
      <c r="C47" s="38">
        <f ca="1">IF(F47='Inputs and Outputs'!$H$11,1,IF(F47='Inputs and Outputs'!$H$17,2,IF(F47='Inputs and Outputs'!$H$23,3,0)))</f>
        <v>0</v>
      </c>
      <c r="D47" s="38" t="b">
        <f t="shared" ca="1" si="3"/>
        <v>0</v>
      </c>
      <c r="E47">
        <f>'Apartment Listings'!B47</f>
        <v>44</v>
      </c>
      <c r="F47" s="33" t="str">
        <f>'Apartment Listings'!C47</f>
        <v>West Village</v>
      </c>
      <c r="G47" s="33">
        <f>VLOOKUP(E47,'Apartment Listings'!B47:N196,13,0)</f>
        <v>91949</v>
      </c>
      <c r="H47" t="str">
        <f>IF(AND('Apartment Listings'!D47&gt;'Financial Worksheet'!$H$5,'Apartment Listings'!D47&lt;'Financial Worksheet'!$H$4),"Y","N")</f>
        <v>N</v>
      </c>
      <c r="I47">
        <f>IF('Inputs and Outputs'!$I$8='Apartment Listings'!D47,'Apartment Scores'!$I$1,0)</f>
        <v>0</v>
      </c>
      <c r="J47">
        <f>IF('Apartment Listings'!F47&gt;='Inputs and Outputs'!$D$36,1,0)</f>
        <v>0</v>
      </c>
      <c r="K47">
        <f>IF('Apartment Listings'!G47&gt;='Inputs and Outputs'!$D$37,1,0)</f>
        <v>1</v>
      </c>
      <c r="L47">
        <f>IF('Apartment Listings'!H47='Inputs and Outputs'!$D$38,1,0)</f>
        <v>0</v>
      </c>
      <c r="M47">
        <f>IF('Apartment Listings'!I47='Inputs and Outputs'!$D$39,1,0)</f>
        <v>0</v>
      </c>
      <c r="N47">
        <f>IF('Apartment Listings'!J47='Inputs and Outputs'!$D$40,1,0)</f>
        <v>0</v>
      </c>
      <c r="O47">
        <f>IF('Apartment Listings'!K47='Inputs and Outputs'!$D$41,1,0)</f>
        <v>0</v>
      </c>
      <c r="P47">
        <f>IF('Apartment Listings'!L47='Inputs and Outputs'!$D$42,1,0)</f>
        <v>1</v>
      </c>
      <c r="Q47">
        <f>IF('Apartment Listings'!M47='Inputs and Outputs'!$D$43,1,0)</f>
        <v>1</v>
      </c>
      <c r="R47">
        <f t="shared" si="4"/>
        <v>0</v>
      </c>
      <c r="T47" s="38">
        <f t="shared" si="5"/>
        <v>0</v>
      </c>
      <c r="U47" s="44">
        <f t="shared" si="6"/>
        <v>131</v>
      </c>
      <c r="W47" t="str">
        <f t="shared" si="26"/>
        <v>West Village131</v>
      </c>
    </row>
    <row r="48" spans="1:23">
      <c r="A48" s="38">
        <f t="shared" si="27"/>
        <v>3</v>
      </c>
      <c r="B48" s="38" t="str">
        <f t="shared" si="25"/>
        <v>West Village3</v>
      </c>
      <c r="C48" s="38">
        <f ca="1">IF(F48='Inputs and Outputs'!$H$11,1,IF(F48='Inputs and Outputs'!$H$17,2,IF(F48='Inputs and Outputs'!$H$23,3,0)))</f>
        <v>0</v>
      </c>
      <c r="D48" s="38" t="b">
        <f t="shared" ca="1" si="3"/>
        <v>0</v>
      </c>
      <c r="E48">
        <f>'Apartment Listings'!B48</f>
        <v>45</v>
      </c>
      <c r="F48" s="33" t="str">
        <f>'Apartment Listings'!C48</f>
        <v>West Village</v>
      </c>
      <c r="G48" s="33">
        <f>VLOOKUP(E48,'Apartment Listings'!B48:N197,13,0)</f>
        <v>22258</v>
      </c>
      <c r="H48" t="str">
        <f>IF(AND('Apartment Listings'!D48&gt;'Financial Worksheet'!$H$5,'Apartment Listings'!D48&lt;'Financial Worksheet'!$H$4),"Y","N")</f>
        <v>N</v>
      </c>
      <c r="I48">
        <f>IF('Inputs and Outputs'!$I$8='Apartment Listings'!D48,'Apartment Scores'!$I$1,0)</f>
        <v>0</v>
      </c>
      <c r="J48">
        <f>IF('Apartment Listings'!F48&gt;='Inputs and Outputs'!$D$36,1,0)</f>
        <v>0</v>
      </c>
      <c r="K48">
        <f>IF('Apartment Listings'!G48&gt;='Inputs and Outputs'!$D$37,1,0)</f>
        <v>1</v>
      </c>
      <c r="L48">
        <f>IF('Apartment Listings'!H48='Inputs and Outputs'!$D$38,1,0)</f>
        <v>1</v>
      </c>
      <c r="M48">
        <f>IF('Apartment Listings'!I48='Inputs and Outputs'!$D$39,1,0)</f>
        <v>1</v>
      </c>
      <c r="N48">
        <f>IF('Apartment Listings'!J48='Inputs and Outputs'!$D$40,1,0)</f>
        <v>1</v>
      </c>
      <c r="O48">
        <f>IF('Apartment Listings'!K48='Inputs and Outputs'!$D$41,1,0)</f>
        <v>1</v>
      </c>
      <c r="P48">
        <f>IF('Apartment Listings'!L48='Inputs and Outputs'!$D$42,1,0)</f>
        <v>0</v>
      </c>
      <c r="Q48">
        <f>IF('Apartment Listings'!M48='Inputs and Outputs'!$D$43,1,0)</f>
        <v>1</v>
      </c>
      <c r="R48">
        <f t="shared" si="4"/>
        <v>0</v>
      </c>
      <c r="T48" s="38">
        <f t="shared" si="5"/>
        <v>3</v>
      </c>
      <c r="U48" s="44">
        <f t="shared" si="6"/>
        <v>107</v>
      </c>
      <c r="W48" t="str">
        <f t="shared" si="26"/>
        <v>West Village107</v>
      </c>
    </row>
    <row r="49" spans="1:23">
      <c r="A49" s="38">
        <f t="shared" si="27"/>
        <v>4</v>
      </c>
      <c r="B49" s="38" t="str">
        <f t="shared" si="25"/>
        <v>West Village4</v>
      </c>
      <c r="C49" s="38">
        <f ca="1">IF(F49='Inputs and Outputs'!$H$11,1,IF(F49='Inputs and Outputs'!$H$17,2,IF(F49='Inputs and Outputs'!$H$23,3,0)))</f>
        <v>0</v>
      </c>
      <c r="D49" s="38" t="b">
        <f t="shared" ca="1" si="3"/>
        <v>0</v>
      </c>
      <c r="E49">
        <f>'Apartment Listings'!B49</f>
        <v>46</v>
      </c>
      <c r="F49" s="33" t="str">
        <f>'Apartment Listings'!C49</f>
        <v>West Village</v>
      </c>
      <c r="G49" s="33">
        <f>VLOOKUP(E49,'Apartment Listings'!B49:N198,13,0)</f>
        <v>74185</v>
      </c>
      <c r="H49" t="str">
        <f>IF(AND('Apartment Listings'!D49&gt;'Financial Worksheet'!$H$5,'Apartment Listings'!D49&lt;'Financial Worksheet'!$H$4),"Y","N")</f>
        <v>N</v>
      </c>
      <c r="I49">
        <f>IF('Inputs and Outputs'!$I$8='Apartment Listings'!D49,'Apartment Scores'!$I$1,0)</f>
        <v>0</v>
      </c>
      <c r="J49">
        <f>IF('Apartment Listings'!F49&gt;='Inputs and Outputs'!$D$36,1,0)</f>
        <v>1</v>
      </c>
      <c r="K49">
        <f>IF('Apartment Listings'!G49&gt;='Inputs and Outputs'!$D$37,1,0)</f>
        <v>1</v>
      </c>
      <c r="L49">
        <f>IF('Apartment Listings'!H49='Inputs and Outputs'!$D$38,1,0)</f>
        <v>0</v>
      </c>
      <c r="M49">
        <f>IF('Apartment Listings'!I49='Inputs and Outputs'!$D$39,1,0)</f>
        <v>1</v>
      </c>
      <c r="N49">
        <f>IF('Apartment Listings'!J49='Inputs and Outputs'!$D$40,1,0)</f>
        <v>1</v>
      </c>
      <c r="O49">
        <f>IF('Apartment Listings'!K49='Inputs and Outputs'!$D$41,1,0)</f>
        <v>1</v>
      </c>
      <c r="P49">
        <f>IF('Apartment Listings'!L49='Inputs and Outputs'!$D$42,1,0)</f>
        <v>0</v>
      </c>
      <c r="Q49">
        <f>IF('Apartment Listings'!M49='Inputs and Outputs'!$D$43,1,0)</f>
        <v>1</v>
      </c>
      <c r="R49">
        <f t="shared" si="4"/>
        <v>0</v>
      </c>
      <c r="T49" s="38">
        <f t="shared" si="5"/>
        <v>3</v>
      </c>
      <c r="U49" s="44">
        <f t="shared" si="6"/>
        <v>107</v>
      </c>
      <c r="W49" t="str">
        <f t="shared" si="26"/>
        <v>West Village107</v>
      </c>
    </row>
    <row r="50" spans="1:23">
      <c r="A50" s="38">
        <f t="shared" si="27"/>
        <v>5</v>
      </c>
      <c r="B50" s="38" t="str">
        <f t="shared" si="25"/>
        <v>West Village5</v>
      </c>
      <c r="C50" s="38">
        <f ca="1">IF(F50='Inputs and Outputs'!$H$11,1,IF(F50='Inputs and Outputs'!$H$17,2,IF(F50='Inputs and Outputs'!$H$23,3,0)))</f>
        <v>0</v>
      </c>
      <c r="D50" s="38" t="b">
        <f t="shared" ca="1" si="3"/>
        <v>0</v>
      </c>
      <c r="E50">
        <f>'Apartment Listings'!B50</f>
        <v>47</v>
      </c>
      <c r="F50" s="33" t="str">
        <f>'Apartment Listings'!C50</f>
        <v>West Village</v>
      </c>
      <c r="G50" s="33">
        <f>VLOOKUP(E50,'Apartment Listings'!B50:N199,13,0)</f>
        <v>88656</v>
      </c>
      <c r="H50" t="str">
        <f>IF(AND('Apartment Listings'!D50&gt;'Financial Worksheet'!$H$5,'Apartment Listings'!D50&lt;'Financial Worksheet'!$H$4),"Y","N")</f>
        <v>N</v>
      </c>
      <c r="I50">
        <f>IF('Inputs and Outputs'!$I$8='Apartment Listings'!D50,'Apartment Scores'!$I$1,0)</f>
        <v>0</v>
      </c>
      <c r="J50">
        <f>IF('Apartment Listings'!F50&gt;='Inputs and Outputs'!$D$36,1,0)</f>
        <v>1</v>
      </c>
      <c r="K50">
        <f>IF('Apartment Listings'!G50&gt;='Inputs and Outputs'!$D$37,1,0)</f>
        <v>1</v>
      </c>
      <c r="L50">
        <f>IF('Apartment Listings'!H50='Inputs and Outputs'!$D$38,1,0)</f>
        <v>0</v>
      </c>
      <c r="M50">
        <f>IF('Apartment Listings'!I50='Inputs and Outputs'!$D$39,1,0)</f>
        <v>0</v>
      </c>
      <c r="N50">
        <f>IF('Apartment Listings'!J50='Inputs and Outputs'!$D$40,1,0)</f>
        <v>0</v>
      </c>
      <c r="O50">
        <f>IF('Apartment Listings'!K50='Inputs and Outputs'!$D$41,1,0)</f>
        <v>0</v>
      </c>
      <c r="P50">
        <f>IF('Apartment Listings'!L50='Inputs and Outputs'!$D$42,1,0)</f>
        <v>1</v>
      </c>
      <c r="Q50">
        <f>IF('Apartment Listings'!M50='Inputs and Outputs'!$D$43,1,0)</f>
        <v>0</v>
      </c>
      <c r="R50">
        <f t="shared" si="4"/>
        <v>0</v>
      </c>
      <c r="T50" s="38">
        <f t="shared" si="5"/>
        <v>0</v>
      </c>
      <c r="U50" s="44">
        <f t="shared" si="6"/>
        <v>131</v>
      </c>
      <c r="W50" t="str">
        <f t="shared" si="26"/>
        <v>West Village131</v>
      </c>
    </row>
    <row r="51" spans="1:23">
      <c r="A51" s="38">
        <f t="shared" si="27"/>
        <v>6</v>
      </c>
      <c r="B51" s="38" t="str">
        <f t="shared" si="25"/>
        <v>West Village6</v>
      </c>
      <c r="C51" s="38">
        <f ca="1">IF(F51='Inputs and Outputs'!$H$11,1,IF(F51='Inputs and Outputs'!$H$17,2,IF(F51='Inputs and Outputs'!$H$23,3,0)))</f>
        <v>0</v>
      </c>
      <c r="D51" s="38" t="b">
        <f t="shared" ca="1" si="3"/>
        <v>0</v>
      </c>
      <c r="E51">
        <f>'Apartment Listings'!B51</f>
        <v>48</v>
      </c>
      <c r="F51" s="33" t="str">
        <f>'Apartment Listings'!C51</f>
        <v>West Village</v>
      </c>
      <c r="G51" s="33">
        <f>VLOOKUP(E51,'Apartment Listings'!B51:N200,13,0)</f>
        <v>47297</v>
      </c>
      <c r="H51" t="str">
        <f>IF(AND('Apartment Listings'!D51&gt;'Financial Worksheet'!$H$5,'Apartment Listings'!D51&lt;'Financial Worksheet'!$H$4),"Y","N")</f>
        <v>Y</v>
      </c>
      <c r="I51">
        <f>IF('Inputs and Outputs'!$I$8='Apartment Listings'!D51,'Apartment Scores'!$I$1,0)</f>
        <v>2</v>
      </c>
      <c r="J51">
        <f>IF('Apartment Listings'!F51&gt;='Inputs and Outputs'!$D$36,1,0)</f>
        <v>0</v>
      </c>
      <c r="K51">
        <f>IF('Apartment Listings'!G51&gt;='Inputs and Outputs'!$D$37,1,0)</f>
        <v>1</v>
      </c>
      <c r="L51">
        <f>IF('Apartment Listings'!H51='Inputs and Outputs'!$D$38,1,0)</f>
        <v>0</v>
      </c>
      <c r="M51">
        <f>IF('Apartment Listings'!I51='Inputs and Outputs'!$D$39,1,0)</f>
        <v>1</v>
      </c>
      <c r="N51">
        <f>IF('Apartment Listings'!J51='Inputs and Outputs'!$D$40,1,0)</f>
        <v>1</v>
      </c>
      <c r="O51">
        <f>IF('Apartment Listings'!K51='Inputs and Outputs'!$D$41,1,0)</f>
        <v>1</v>
      </c>
      <c r="P51">
        <f>IF('Apartment Listings'!L51='Inputs and Outputs'!$D$42,1,0)</f>
        <v>0</v>
      </c>
      <c r="Q51">
        <f>IF('Apartment Listings'!M51='Inputs and Outputs'!$D$43,1,0)</f>
        <v>0</v>
      </c>
      <c r="R51">
        <f t="shared" si="4"/>
        <v>0</v>
      </c>
      <c r="T51" s="38">
        <f t="shared" si="5"/>
        <v>10</v>
      </c>
      <c r="U51" s="44">
        <f t="shared" si="6"/>
        <v>11</v>
      </c>
      <c r="W51" t="str">
        <f t="shared" si="26"/>
        <v>West Village11</v>
      </c>
    </row>
    <row r="52" spans="1:23">
      <c r="A52" s="38">
        <f t="shared" si="27"/>
        <v>7</v>
      </c>
      <c r="B52" s="38" t="str">
        <f t="shared" si="25"/>
        <v>West Village7</v>
      </c>
      <c r="C52" s="38">
        <f ca="1">IF(F52='Inputs and Outputs'!$H$11,1,IF(F52='Inputs and Outputs'!$H$17,2,IF(F52='Inputs and Outputs'!$H$23,3,0)))</f>
        <v>0</v>
      </c>
      <c r="D52" s="38" t="b">
        <f t="shared" ca="1" si="3"/>
        <v>0</v>
      </c>
      <c r="E52">
        <f>'Apartment Listings'!B52</f>
        <v>49</v>
      </c>
      <c r="F52" s="33" t="str">
        <f>'Apartment Listings'!C52</f>
        <v>West Village</v>
      </c>
      <c r="G52" s="33">
        <f>VLOOKUP(E52,'Apartment Listings'!B52:N201,13,0)</f>
        <v>39073</v>
      </c>
      <c r="H52" t="str">
        <f>IF(AND('Apartment Listings'!D52&gt;'Financial Worksheet'!$H$5,'Apartment Listings'!D52&lt;'Financial Worksheet'!$H$4),"Y","N")</f>
        <v>N</v>
      </c>
      <c r="I52">
        <f>IF('Inputs and Outputs'!$I$8='Apartment Listings'!D52,'Apartment Scores'!$I$1,0)</f>
        <v>0</v>
      </c>
      <c r="J52">
        <f>IF('Apartment Listings'!F52&gt;='Inputs and Outputs'!$D$36,1,0)</f>
        <v>0</v>
      </c>
      <c r="K52">
        <f>IF('Apartment Listings'!G52&gt;='Inputs and Outputs'!$D$37,1,0)</f>
        <v>1</v>
      </c>
      <c r="L52">
        <f>IF('Apartment Listings'!H52='Inputs and Outputs'!$D$38,1,0)</f>
        <v>1</v>
      </c>
      <c r="M52">
        <f>IF('Apartment Listings'!I52='Inputs and Outputs'!$D$39,1,0)</f>
        <v>1</v>
      </c>
      <c r="N52">
        <f>IF('Apartment Listings'!J52='Inputs and Outputs'!$D$40,1,0)</f>
        <v>0</v>
      </c>
      <c r="O52">
        <f>IF('Apartment Listings'!K52='Inputs and Outputs'!$D$41,1,0)</f>
        <v>0</v>
      </c>
      <c r="P52">
        <f>IF('Apartment Listings'!L52='Inputs and Outputs'!$D$42,1,0)</f>
        <v>1</v>
      </c>
      <c r="Q52">
        <f>IF('Apartment Listings'!M52='Inputs and Outputs'!$D$43,1,0)</f>
        <v>0</v>
      </c>
      <c r="R52">
        <f t="shared" si="4"/>
        <v>0</v>
      </c>
      <c r="T52" s="38">
        <f t="shared" si="5"/>
        <v>1</v>
      </c>
      <c r="U52" s="44">
        <f t="shared" si="6"/>
        <v>123</v>
      </c>
      <c r="W52" t="str">
        <f t="shared" si="26"/>
        <v>West Village123</v>
      </c>
    </row>
    <row r="53" spans="1:23">
      <c r="A53" s="38">
        <f t="shared" si="27"/>
        <v>8</v>
      </c>
      <c r="B53" s="38" t="str">
        <f t="shared" si="25"/>
        <v>West Village8</v>
      </c>
      <c r="C53" s="38">
        <f ca="1">IF(F53='Inputs and Outputs'!$H$11,1,IF(F53='Inputs and Outputs'!$H$17,2,IF(F53='Inputs and Outputs'!$H$23,3,0)))</f>
        <v>0</v>
      </c>
      <c r="D53" s="38" t="b">
        <f t="shared" ca="1" si="3"/>
        <v>0</v>
      </c>
      <c r="E53">
        <f>'Apartment Listings'!B53</f>
        <v>50</v>
      </c>
      <c r="F53" s="33" t="str">
        <f>'Apartment Listings'!C53</f>
        <v>West Village</v>
      </c>
      <c r="G53" s="33">
        <f>VLOOKUP(E53,'Apartment Listings'!B53:N202,13,0)</f>
        <v>82402</v>
      </c>
      <c r="H53" t="str">
        <f>IF(AND('Apartment Listings'!D53&gt;'Financial Worksheet'!$H$5,'Apartment Listings'!D53&lt;'Financial Worksheet'!$H$4),"Y","N")</f>
        <v>Y</v>
      </c>
      <c r="I53">
        <f>IF('Inputs and Outputs'!$I$8='Apartment Listings'!D53,'Apartment Scores'!$I$1,0)</f>
        <v>0</v>
      </c>
      <c r="J53">
        <f>IF('Apartment Listings'!F53&gt;='Inputs and Outputs'!$D$36,1,0)</f>
        <v>0</v>
      </c>
      <c r="K53">
        <f>IF('Apartment Listings'!G53&gt;='Inputs and Outputs'!$D$37,1,0)</f>
        <v>1</v>
      </c>
      <c r="L53">
        <f>IF('Apartment Listings'!H53='Inputs and Outputs'!$D$38,1,0)</f>
        <v>0</v>
      </c>
      <c r="M53">
        <f>IF('Apartment Listings'!I53='Inputs and Outputs'!$D$39,1,0)</f>
        <v>0</v>
      </c>
      <c r="N53">
        <f>IF('Apartment Listings'!J53='Inputs and Outputs'!$D$40,1,0)</f>
        <v>0</v>
      </c>
      <c r="O53">
        <f>IF('Apartment Listings'!K53='Inputs and Outputs'!$D$41,1,0)</f>
        <v>0</v>
      </c>
      <c r="P53">
        <f>IF('Apartment Listings'!L53='Inputs and Outputs'!$D$42,1,0)</f>
        <v>1</v>
      </c>
      <c r="Q53">
        <f>IF('Apartment Listings'!M53='Inputs and Outputs'!$D$43,1,0)</f>
        <v>0</v>
      </c>
      <c r="R53">
        <f t="shared" si="4"/>
        <v>0</v>
      </c>
      <c r="T53" s="38">
        <f t="shared" si="5"/>
        <v>6</v>
      </c>
      <c r="U53" s="44">
        <f t="shared" si="6"/>
        <v>79</v>
      </c>
      <c r="W53" t="str">
        <f t="shared" si="26"/>
        <v>West Village79</v>
      </c>
    </row>
    <row r="54" spans="1:23">
      <c r="A54" s="38">
        <f t="shared" si="27"/>
        <v>9</v>
      </c>
      <c r="B54" s="38" t="str">
        <f t="shared" si="25"/>
        <v>West Village9</v>
      </c>
      <c r="C54" s="38">
        <f ca="1">IF(F54='Inputs and Outputs'!$H$11,1,IF(F54='Inputs and Outputs'!$H$17,2,IF(F54='Inputs and Outputs'!$H$23,3,0)))</f>
        <v>0</v>
      </c>
      <c r="D54" s="38" t="b">
        <f t="shared" ca="1" si="3"/>
        <v>0</v>
      </c>
      <c r="E54">
        <f>'Apartment Listings'!B54</f>
        <v>51</v>
      </c>
      <c r="F54" s="33" t="str">
        <f>'Apartment Listings'!C54</f>
        <v>West Village</v>
      </c>
      <c r="G54" s="33">
        <f>VLOOKUP(E54,'Apartment Listings'!B54:N203,13,0)</f>
        <v>96433</v>
      </c>
      <c r="H54" t="str">
        <f>IF(AND('Apartment Listings'!D54&gt;'Financial Worksheet'!$H$5,'Apartment Listings'!D54&lt;'Financial Worksheet'!$H$4),"Y","N")</f>
        <v>N</v>
      </c>
      <c r="I54">
        <f>IF('Inputs and Outputs'!$I$8='Apartment Listings'!D54,'Apartment Scores'!$I$1,0)</f>
        <v>0</v>
      </c>
      <c r="J54">
        <f>IF('Apartment Listings'!F54&gt;='Inputs and Outputs'!$D$36,1,0)</f>
        <v>0</v>
      </c>
      <c r="K54">
        <f>IF('Apartment Listings'!G54&gt;='Inputs and Outputs'!$D$37,1,0)</f>
        <v>1</v>
      </c>
      <c r="L54">
        <f>IF('Apartment Listings'!H54='Inputs and Outputs'!$D$38,1,0)</f>
        <v>0</v>
      </c>
      <c r="M54">
        <f>IF('Apartment Listings'!I54='Inputs and Outputs'!$D$39,1,0)</f>
        <v>1</v>
      </c>
      <c r="N54">
        <f>IF('Apartment Listings'!J54='Inputs and Outputs'!$D$40,1,0)</f>
        <v>0</v>
      </c>
      <c r="O54">
        <f>IF('Apartment Listings'!K54='Inputs and Outputs'!$D$41,1,0)</f>
        <v>0</v>
      </c>
      <c r="P54">
        <f>IF('Apartment Listings'!L54='Inputs and Outputs'!$D$42,1,0)</f>
        <v>1</v>
      </c>
      <c r="Q54">
        <f>IF('Apartment Listings'!M54='Inputs and Outputs'!$D$43,1,0)</f>
        <v>0</v>
      </c>
      <c r="R54">
        <f t="shared" si="4"/>
        <v>0</v>
      </c>
      <c r="T54" s="38">
        <f t="shared" si="5"/>
        <v>0</v>
      </c>
      <c r="U54" s="44">
        <f t="shared" si="6"/>
        <v>131</v>
      </c>
      <c r="W54" t="str">
        <f t="shared" si="26"/>
        <v>West Village131</v>
      </c>
    </row>
    <row r="55" spans="1:23">
      <c r="A55" s="38">
        <f t="shared" si="27"/>
        <v>10</v>
      </c>
      <c r="B55" s="38" t="str">
        <f t="shared" si="25"/>
        <v>West Village10</v>
      </c>
      <c r="C55" s="38">
        <f ca="1">IF(F55='Inputs and Outputs'!$H$11,1,IF(F55='Inputs and Outputs'!$H$17,2,IF(F55='Inputs and Outputs'!$H$23,3,0)))</f>
        <v>0</v>
      </c>
      <c r="D55" s="38" t="b">
        <f t="shared" ca="1" si="3"/>
        <v>0</v>
      </c>
      <c r="E55">
        <f>'Apartment Listings'!B55</f>
        <v>52</v>
      </c>
      <c r="F55" s="33" t="str">
        <f>'Apartment Listings'!C55</f>
        <v>West Village</v>
      </c>
      <c r="G55" s="33">
        <f>VLOOKUP(E55,'Apartment Listings'!B55:N204,13,0)</f>
        <v>54997</v>
      </c>
      <c r="H55" t="str">
        <f>IF(AND('Apartment Listings'!D55&gt;'Financial Worksheet'!$H$5,'Apartment Listings'!D55&lt;'Financial Worksheet'!$H$4),"Y","N")</f>
        <v>N</v>
      </c>
      <c r="I55">
        <f>IF('Inputs and Outputs'!$I$8='Apartment Listings'!D55,'Apartment Scores'!$I$1,0)</f>
        <v>0</v>
      </c>
      <c r="J55">
        <f>IF('Apartment Listings'!F55&gt;='Inputs and Outputs'!$D$36,1,0)</f>
        <v>1</v>
      </c>
      <c r="K55">
        <f>IF('Apartment Listings'!G55&gt;='Inputs and Outputs'!$D$37,1,0)</f>
        <v>1</v>
      </c>
      <c r="L55">
        <f>IF('Apartment Listings'!H55='Inputs and Outputs'!$D$38,1,0)</f>
        <v>0</v>
      </c>
      <c r="M55">
        <f>IF('Apartment Listings'!I55='Inputs and Outputs'!$D$39,1,0)</f>
        <v>1</v>
      </c>
      <c r="N55">
        <f>IF('Apartment Listings'!J55='Inputs and Outputs'!$D$40,1,0)</f>
        <v>1</v>
      </c>
      <c r="O55">
        <f>IF('Apartment Listings'!K55='Inputs and Outputs'!$D$41,1,0)</f>
        <v>0</v>
      </c>
      <c r="P55">
        <f>IF('Apartment Listings'!L55='Inputs and Outputs'!$D$42,1,0)</f>
        <v>0</v>
      </c>
      <c r="Q55">
        <f>IF('Apartment Listings'!M55='Inputs and Outputs'!$D$43,1,0)</f>
        <v>0</v>
      </c>
      <c r="R55">
        <f t="shared" si="4"/>
        <v>0</v>
      </c>
      <c r="T55" s="38">
        <f t="shared" si="5"/>
        <v>1</v>
      </c>
      <c r="U55" s="44">
        <f t="shared" si="6"/>
        <v>123</v>
      </c>
      <c r="W55" t="str">
        <f t="shared" si="26"/>
        <v>West Village123</v>
      </c>
    </row>
    <row r="56" spans="1:23">
      <c r="A56" s="38">
        <f t="shared" si="27"/>
        <v>1</v>
      </c>
      <c r="B56" s="38" t="str">
        <f t="shared" si="25"/>
        <v>Battery Park City1</v>
      </c>
      <c r="C56" s="38">
        <f ca="1">IF(F56='Inputs and Outputs'!$H$11,1,IF(F56='Inputs and Outputs'!$H$17,2,IF(F56='Inputs and Outputs'!$H$23,3,0)))</f>
        <v>0</v>
      </c>
      <c r="D56" s="38" t="b">
        <f t="shared" ca="1" si="3"/>
        <v>0</v>
      </c>
      <c r="E56">
        <f>'Apartment Listings'!B56</f>
        <v>53</v>
      </c>
      <c r="F56" s="33" t="str">
        <f>'Apartment Listings'!C56</f>
        <v>Battery Park City</v>
      </c>
      <c r="G56" s="33">
        <f>VLOOKUP(E56,'Apartment Listings'!B56:N205,13,0)</f>
        <v>12093</v>
      </c>
      <c r="H56" t="str">
        <f>IF(AND('Apartment Listings'!D56&gt;'Financial Worksheet'!$H$5,'Apartment Listings'!D56&lt;'Financial Worksheet'!$H$4),"Y","N")</f>
        <v>Y</v>
      </c>
      <c r="I56">
        <f>IF('Inputs and Outputs'!$I$8='Apartment Listings'!D56,'Apartment Scores'!$I$1,0)</f>
        <v>0</v>
      </c>
      <c r="J56">
        <f>IF('Apartment Listings'!F56&gt;='Inputs and Outputs'!$D$36,1,0)</f>
        <v>0</v>
      </c>
      <c r="K56">
        <f>IF('Apartment Listings'!G56&gt;='Inputs and Outputs'!$D$37,1,0)</f>
        <v>1</v>
      </c>
      <c r="L56">
        <f>IF('Apartment Listings'!H56='Inputs and Outputs'!$D$38,1,0)</f>
        <v>1</v>
      </c>
      <c r="M56">
        <f>IF('Apartment Listings'!I56='Inputs and Outputs'!$D$39,1,0)</f>
        <v>1</v>
      </c>
      <c r="N56">
        <f>IF('Apartment Listings'!J56='Inputs and Outputs'!$D$40,1,0)</f>
        <v>1</v>
      </c>
      <c r="O56">
        <f>IF('Apartment Listings'!K56='Inputs and Outputs'!$D$41,1,0)</f>
        <v>1</v>
      </c>
      <c r="P56">
        <f>IF('Apartment Listings'!L56='Inputs and Outputs'!$D$42,1,0)</f>
        <v>0</v>
      </c>
      <c r="Q56">
        <f>IF('Apartment Listings'!M56='Inputs and Outputs'!$D$43,1,0)</f>
        <v>0</v>
      </c>
      <c r="R56">
        <f t="shared" si="4"/>
        <v>0</v>
      </c>
      <c r="T56" s="38">
        <f t="shared" si="5"/>
        <v>9</v>
      </c>
      <c r="U56" s="44">
        <f t="shared" si="6"/>
        <v>27</v>
      </c>
      <c r="W56" t="str">
        <f t="shared" si="26"/>
        <v>Battery Park City27</v>
      </c>
    </row>
    <row r="57" spans="1:23">
      <c r="A57" s="38">
        <f t="shared" si="27"/>
        <v>2</v>
      </c>
      <c r="B57" s="38" t="str">
        <f t="shared" si="25"/>
        <v>Battery Park City2</v>
      </c>
      <c r="C57" s="38">
        <f ca="1">IF(F57='Inputs and Outputs'!$H$11,1,IF(F57='Inputs and Outputs'!$H$17,2,IF(F57='Inputs and Outputs'!$H$23,3,0)))</f>
        <v>0</v>
      </c>
      <c r="D57" s="38" t="b">
        <f t="shared" ca="1" si="3"/>
        <v>0</v>
      </c>
      <c r="E57">
        <f>'Apartment Listings'!B57</f>
        <v>54</v>
      </c>
      <c r="F57" s="33" t="str">
        <f>'Apartment Listings'!C57</f>
        <v>Battery Park City</v>
      </c>
      <c r="G57" s="33">
        <f>VLOOKUP(E57,'Apartment Listings'!B57:N206,13,0)</f>
        <v>19466</v>
      </c>
      <c r="H57" t="str">
        <f>IF(AND('Apartment Listings'!D57&gt;'Financial Worksheet'!$H$5,'Apartment Listings'!D57&lt;'Financial Worksheet'!$H$4),"Y","N")</f>
        <v>Y</v>
      </c>
      <c r="I57">
        <f>IF('Inputs and Outputs'!$I$8='Apartment Listings'!D57,'Apartment Scores'!$I$1,0)</f>
        <v>0</v>
      </c>
      <c r="J57">
        <f>IF('Apartment Listings'!F57&gt;='Inputs and Outputs'!$D$36,1,0)</f>
        <v>0</v>
      </c>
      <c r="K57">
        <f>IF('Apartment Listings'!G57&gt;='Inputs and Outputs'!$D$37,1,0)</f>
        <v>1</v>
      </c>
      <c r="L57">
        <f>IF('Apartment Listings'!H57='Inputs and Outputs'!$D$38,1,0)</f>
        <v>1</v>
      </c>
      <c r="M57">
        <f>IF('Apartment Listings'!I57='Inputs and Outputs'!$D$39,1,0)</f>
        <v>1</v>
      </c>
      <c r="N57">
        <f>IF('Apartment Listings'!J57='Inputs and Outputs'!$D$40,1,0)</f>
        <v>1</v>
      </c>
      <c r="O57">
        <f>IF('Apartment Listings'!K57='Inputs and Outputs'!$D$41,1,0)</f>
        <v>1</v>
      </c>
      <c r="P57">
        <f>IF('Apartment Listings'!L57='Inputs and Outputs'!$D$42,1,0)</f>
        <v>1</v>
      </c>
      <c r="Q57">
        <f>IF('Apartment Listings'!M57='Inputs and Outputs'!$D$43,1,0)</f>
        <v>1</v>
      </c>
      <c r="R57">
        <f t="shared" si="4"/>
        <v>0</v>
      </c>
      <c r="T57" s="38">
        <f t="shared" si="5"/>
        <v>11</v>
      </c>
      <c r="U57" s="44">
        <f t="shared" si="6"/>
        <v>4</v>
      </c>
      <c r="W57" t="str">
        <f t="shared" si="26"/>
        <v>Battery Park City4</v>
      </c>
    </row>
    <row r="58" spans="1:23">
      <c r="A58" s="38">
        <f t="shared" si="27"/>
        <v>3</v>
      </c>
      <c r="B58" s="38" t="str">
        <f t="shared" si="25"/>
        <v>Battery Park City3</v>
      </c>
      <c r="C58" s="38">
        <f ca="1">IF(F58='Inputs and Outputs'!$H$11,1,IF(F58='Inputs and Outputs'!$H$17,2,IF(F58='Inputs and Outputs'!$H$23,3,0)))</f>
        <v>0</v>
      </c>
      <c r="D58" s="38" t="b">
        <f t="shared" ca="1" si="3"/>
        <v>0</v>
      </c>
      <c r="E58">
        <f>'Apartment Listings'!B58</f>
        <v>55</v>
      </c>
      <c r="F58" s="33" t="str">
        <f>'Apartment Listings'!C58</f>
        <v>Battery Park City</v>
      </c>
      <c r="G58" s="33">
        <f>VLOOKUP(E58,'Apartment Listings'!B58:N207,13,0)</f>
        <v>75881</v>
      </c>
      <c r="H58" t="str">
        <f>IF(AND('Apartment Listings'!D58&gt;'Financial Worksheet'!$H$5,'Apartment Listings'!D58&lt;'Financial Worksheet'!$H$4),"Y","N")</f>
        <v>N</v>
      </c>
      <c r="I58">
        <f>IF('Inputs and Outputs'!$I$8='Apartment Listings'!D58,'Apartment Scores'!$I$1,0)</f>
        <v>0</v>
      </c>
      <c r="J58">
        <f>IF('Apartment Listings'!F58&gt;='Inputs and Outputs'!$D$36,1,0)</f>
        <v>1</v>
      </c>
      <c r="K58">
        <f>IF('Apartment Listings'!G58&gt;='Inputs and Outputs'!$D$37,1,0)</f>
        <v>1</v>
      </c>
      <c r="L58">
        <f>IF('Apartment Listings'!H58='Inputs and Outputs'!$D$38,1,0)</f>
        <v>1</v>
      </c>
      <c r="M58">
        <f>IF('Apartment Listings'!I58='Inputs and Outputs'!$D$39,1,0)</f>
        <v>1</v>
      </c>
      <c r="N58">
        <f>IF('Apartment Listings'!J58='Inputs and Outputs'!$D$40,1,0)</f>
        <v>1</v>
      </c>
      <c r="O58">
        <f>IF('Apartment Listings'!K58='Inputs and Outputs'!$D$41,1,0)</f>
        <v>1</v>
      </c>
      <c r="P58">
        <f>IF('Apartment Listings'!L58='Inputs and Outputs'!$D$42,1,0)</f>
        <v>1</v>
      </c>
      <c r="Q58">
        <f>IF('Apartment Listings'!M58='Inputs and Outputs'!$D$43,1,0)</f>
        <v>1</v>
      </c>
      <c r="R58">
        <f t="shared" si="4"/>
        <v>2</v>
      </c>
      <c r="T58" s="38">
        <f t="shared" si="5"/>
        <v>7</v>
      </c>
      <c r="U58" s="44">
        <f t="shared" si="6"/>
        <v>61</v>
      </c>
      <c r="W58" t="str">
        <f t="shared" si="26"/>
        <v>Battery Park City61</v>
      </c>
    </row>
    <row r="59" spans="1:23">
      <c r="A59" s="38">
        <f t="shared" si="27"/>
        <v>1</v>
      </c>
      <c r="B59" s="38" t="str">
        <f t="shared" si="25"/>
        <v>Chinatown1</v>
      </c>
      <c r="C59" s="38">
        <f ca="1">IF(F59='Inputs and Outputs'!$H$11,1,IF(F59='Inputs and Outputs'!$H$17,2,IF(F59='Inputs and Outputs'!$H$23,3,0)))</f>
        <v>0</v>
      </c>
      <c r="D59" s="38" t="b">
        <f t="shared" ca="1" si="3"/>
        <v>0</v>
      </c>
      <c r="E59">
        <f>'Apartment Listings'!B59</f>
        <v>56</v>
      </c>
      <c r="F59" s="33" t="str">
        <f>'Apartment Listings'!C59</f>
        <v>Chinatown</v>
      </c>
      <c r="G59" s="33">
        <f>VLOOKUP(E59,'Apartment Listings'!B59:N208,13,0)</f>
        <v>51876</v>
      </c>
      <c r="H59" t="str">
        <f>IF(AND('Apartment Listings'!D59&gt;'Financial Worksheet'!$H$5,'Apartment Listings'!D59&lt;'Financial Worksheet'!$H$4),"Y","N")</f>
        <v>N</v>
      </c>
      <c r="I59">
        <f>IF('Inputs and Outputs'!$I$8='Apartment Listings'!D59,'Apartment Scores'!$I$1,0)</f>
        <v>0</v>
      </c>
      <c r="J59">
        <f>IF('Apartment Listings'!F59&gt;='Inputs and Outputs'!$D$36,1,0)</f>
        <v>0</v>
      </c>
      <c r="K59">
        <f>IF('Apartment Listings'!G59&gt;='Inputs and Outputs'!$D$37,1,0)</f>
        <v>1</v>
      </c>
      <c r="L59">
        <f>IF('Apartment Listings'!H59='Inputs and Outputs'!$D$38,1,0)</f>
        <v>0</v>
      </c>
      <c r="M59">
        <f>IF('Apartment Listings'!I59='Inputs and Outputs'!$D$39,1,0)</f>
        <v>1</v>
      </c>
      <c r="N59">
        <f>IF('Apartment Listings'!J59='Inputs and Outputs'!$D$40,1,0)</f>
        <v>0</v>
      </c>
      <c r="O59">
        <f>IF('Apartment Listings'!K59='Inputs and Outputs'!$D$41,1,0)</f>
        <v>0</v>
      </c>
      <c r="P59">
        <f>IF('Apartment Listings'!L59='Inputs and Outputs'!$D$42,1,0)</f>
        <v>1</v>
      </c>
      <c r="Q59">
        <f>IF('Apartment Listings'!M59='Inputs and Outputs'!$D$43,1,0)</f>
        <v>0</v>
      </c>
      <c r="R59">
        <f t="shared" si="4"/>
        <v>0</v>
      </c>
      <c r="T59" s="38">
        <f t="shared" si="5"/>
        <v>0</v>
      </c>
      <c r="U59" s="44">
        <f t="shared" si="6"/>
        <v>131</v>
      </c>
      <c r="W59" t="str">
        <f t="shared" si="26"/>
        <v>Chinatown131</v>
      </c>
    </row>
    <row r="60" spans="1:23">
      <c r="A60" s="38">
        <f t="shared" si="27"/>
        <v>2</v>
      </c>
      <c r="B60" s="38" t="str">
        <f t="shared" si="25"/>
        <v>Chinatown2</v>
      </c>
      <c r="C60" s="38">
        <f ca="1">IF(F60='Inputs and Outputs'!$H$11,1,IF(F60='Inputs and Outputs'!$H$17,2,IF(F60='Inputs and Outputs'!$H$23,3,0)))</f>
        <v>0</v>
      </c>
      <c r="D60" s="38" t="b">
        <f t="shared" ca="1" si="3"/>
        <v>0</v>
      </c>
      <c r="E60">
        <f>'Apartment Listings'!B60</f>
        <v>57</v>
      </c>
      <c r="F60" s="33" t="str">
        <f>'Apartment Listings'!C60</f>
        <v>Chinatown</v>
      </c>
      <c r="G60" s="33">
        <f>VLOOKUP(E60,'Apartment Listings'!B60:N209,13,0)</f>
        <v>49607</v>
      </c>
      <c r="H60" t="str">
        <f>IF(AND('Apartment Listings'!D60&gt;'Financial Worksheet'!$H$5,'Apartment Listings'!D60&lt;'Financial Worksheet'!$H$4),"Y","N")</f>
        <v>Y</v>
      </c>
      <c r="I60">
        <f>IF('Inputs and Outputs'!$I$8='Apartment Listings'!D60,'Apartment Scores'!$I$1,0)</f>
        <v>0</v>
      </c>
      <c r="J60">
        <f>IF('Apartment Listings'!F60&gt;='Inputs and Outputs'!$D$36,1,0)</f>
        <v>1</v>
      </c>
      <c r="K60">
        <f>IF('Apartment Listings'!G60&gt;='Inputs and Outputs'!$D$37,1,0)</f>
        <v>1</v>
      </c>
      <c r="L60">
        <f>IF('Apartment Listings'!H60='Inputs and Outputs'!$D$38,1,0)</f>
        <v>0</v>
      </c>
      <c r="M60">
        <f>IF('Apartment Listings'!I60='Inputs and Outputs'!$D$39,1,0)</f>
        <v>1</v>
      </c>
      <c r="N60">
        <f>IF('Apartment Listings'!J60='Inputs and Outputs'!$D$40,1,0)</f>
        <v>1</v>
      </c>
      <c r="O60">
        <f>IF('Apartment Listings'!K60='Inputs and Outputs'!$D$41,1,0)</f>
        <v>1</v>
      </c>
      <c r="P60">
        <f>IF('Apartment Listings'!L60='Inputs and Outputs'!$D$42,1,0)</f>
        <v>0</v>
      </c>
      <c r="Q60">
        <f>IF('Apartment Listings'!M60='Inputs and Outputs'!$D$43,1,0)</f>
        <v>0</v>
      </c>
      <c r="R60">
        <f t="shared" si="4"/>
        <v>0</v>
      </c>
      <c r="T60" s="38">
        <f t="shared" si="5"/>
        <v>9</v>
      </c>
      <c r="U60" s="44">
        <f t="shared" si="6"/>
        <v>27</v>
      </c>
      <c r="W60" t="str">
        <f t="shared" si="26"/>
        <v>Chinatown27</v>
      </c>
    </row>
    <row r="61" spans="1:23">
      <c r="A61" s="38">
        <f t="shared" si="27"/>
        <v>1</v>
      </c>
      <c r="B61" s="38" t="str">
        <f t="shared" si="25"/>
        <v>Civic Center1</v>
      </c>
      <c r="C61" s="38">
        <f ca="1">IF(F61='Inputs and Outputs'!$H$11,1,IF(F61='Inputs and Outputs'!$H$17,2,IF(F61='Inputs and Outputs'!$H$23,3,0)))</f>
        <v>0</v>
      </c>
      <c r="D61" s="38" t="b">
        <f t="shared" ca="1" si="3"/>
        <v>0</v>
      </c>
      <c r="E61">
        <f>'Apartment Listings'!B61</f>
        <v>58</v>
      </c>
      <c r="F61" s="33" t="str">
        <f>'Apartment Listings'!C61</f>
        <v>Civic Center</v>
      </c>
      <c r="G61" s="33">
        <f>VLOOKUP(E61,'Apartment Listings'!B61:N210,13,0)</f>
        <v>47149</v>
      </c>
      <c r="H61" t="str">
        <f>IF(AND('Apartment Listings'!D61&gt;'Financial Worksheet'!$H$5,'Apartment Listings'!D61&lt;'Financial Worksheet'!$H$4),"Y","N")</f>
        <v>Y</v>
      </c>
      <c r="I61">
        <f>IF('Inputs and Outputs'!$I$8='Apartment Listings'!D61,'Apartment Scores'!$I$1,0)</f>
        <v>0</v>
      </c>
      <c r="J61">
        <f>IF('Apartment Listings'!F61&gt;='Inputs and Outputs'!$D$36,1,0)</f>
        <v>1</v>
      </c>
      <c r="K61">
        <f>IF('Apartment Listings'!G61&gt;='Inputs and Outputs'!$D$37,1,0)</f>
        <v>1</v>
      </c>
      <c r="L61">
        <f>IF('Apartment Listings'!H61='Inputs and Outputs'!$D$38,1,0)</f>
        <v>1</v>
      </c>
      <c r="M61">
        <f>IF('Apartment Listings'!I61='Inputs and Outputs'!$D$39,1,0)</f>
        <v>1</v>
      </c>
      <c r="N61">
        <f>IF('Apartment Listings'!J61='Inputs and Outputs'!$D$40,1,0)</f>
        <v>1</v>
      </c>
      <c r="O61">
        <f>IF('Apartment Listings'!K61='Inputs and Outputs'!$D$41,1,0)</f>
        <v>1</v>
      </c>
      <c r="P61">
        <f>IF('Apartment Listings'!L61='Inputs and Outputs'!$D$42,1,0)</f>
        <v>1</v>
      </c>
      <c r="Q61">
        <f>IF('Apartment Listings'!M61='Inputs and Outputs'!$D$43,1,0)</f>
        <v>1</v>
      </c>
      <c r="R61">
        <f t="shared" si="4"/>
        <v>2</v>
      </c>
      <c r="T61" s="38">
        <f t="shared" si="5"/>
        <v>14</v>
      </c>
      <c r="U61" s="44">
        <f t="shared" si="6"/>
        <v>1</v>
      </c>
      <c r="W61" t="str">
        <f t="shared" si="26"/>
        <v>Civic Center1</v>
      </c>
    </row>
    <row r="62" spans="1:23">
      <c r="A62" s="38">
        <f t="shared" si="27"/>
        <v>2</v>
      </c>
      <c r="B62" s="38" t="str">
        <f t="shared" si="25"/>
        <v>Civic Center2</v>
      </c>
      <c r="C62" s="38">
        <f ca="1">IF(F62='Inputs and Outputs'!$H$11,1,IF(F62='Inputs and Outputs'!$H$17,2,IF(F62='Inputs and Outputs'!$H$23,3,0)))</f>
        <v>0</v>
      </c>
      <c r="D62" s="38" t="b">
        <f t="shared" ca="1" si="3"/>
        <v>0</v>
      </c>
      <c r="E62">
        <f>'Apartment Listings'!B62</f>
        <v>59</v>
      </c>
      <c r="F62" s="33" t="str">
        <f>'Apartment Listings'!C62</f>
        <v>Civic Center</v>
      </c>
      <c r="G62" s="33">
        <f>VLOOKUP(E62,'Apartment Listings'!B62:N211,13,0)</f>
        <v>20818</v>
      </c>
      <c r="H62" t="str">
        <f>IF(AND('Apartment Listings'!D62&gt;'Financial Worksheet'!$H$5,'Apartment Listings'!D62&lt;'Financial Worksheet'!$H$4),"Y","N")</f>
        <v>Y</v>
      </c>
      <c r="I62">
        <f>IF('Inputs and Outputs'!$I$8='Apartment Listings'!D62,'Apartment Scores'!$I$1,0)</f>
        <v>0</v>
      </c>
      <c r="J62">
        <f>IF('Apartment Listings'!F62&gt;='Inputs and Outputs'!$D$36,1,0)</f>
        <v>0</v>
      </c>
      <c r="K62">
        <f>IF('Apartment Listings'!G62&gt;='Inputs and Outputs'!$D$37,1,0)</f>
        <v>1</v>
      </c>
      <c r="L62">
        <f>IF('Apartment Listings'!H62='Inputs and Outputs'!$D$38,1,0)</f>
        <v>0</v>
      </c>
      <c r="M62">
        <f>IF('Apartment Listings'!I62='Inputs and Outputs'!$D$39,1,0)</f>
        <v>1</v>
      </c>
      <c r="N62">
        <f>IF('Apartment Listings'!J62='Inputs and Outputs'!$D$40,1,0)</f>
        <v>1</v>
      </c>
      <c r="O62">
        <f>IF('Apartment Listings'!K62='Inputs and Outputs'!$D$41,1,0)</f>
        <v>1</v>
      </c>
      <c r="P62">
        <f>IF('Apartment Listings'!L62='Inputs and Outputs'!$D$42,1,0)</f>
        <v>0</v>
      </c>
      <c r="Q62">
        <f>IF('Apartment Listings'!M62='Inputs and Outputs'!$D$43,1,0)</f>
        <v>0</v>
      </c>
      <c r="R62">
        <f t="shared" si="4"/>
        <v>0</v>
      </c>
      <c r="T62" s="38">
        <f t="shared" si="5"/>
        <v>8</v>
      </c>
      <c r="U62" s="44">
        <f t="shared" si="6"/>
        <v>48</v>
      </c>
      <c r="W62" t="str">
        <f t="shared" si="26"/>
        <v>Civic Center48</v>
      </c>
    </row>
    <row r="63" spans="1:23">
      <c r="A63" s="38">
        <f t="shared" si="27"/>
        <v>1</v>
      </c>
      <c r="B63" s="38" t="str">
        <f t="shared" si="25"/>
        <v>Financial District1</v>
      </c>
      <c r="C63" s="38">
        <f ca="1">IF(F63='Inputs and Outputs'!$H$11,1,IF(F63='Inputs and Outputs'!$H$17,2,IF(F63='Inputs and Outputs'!$H$23,3,0)))</f>
        <v>0</v>
      </c>
      <c r="D63" s="38" t="b">
        <f t="shared" ca="1" si="3"/>
        <v>0</v>
      </c>
      <c r="E63">
        <f>'Apartment Listings'!B63</f>
        <v>60</v>
      </c>
      <c r="F63" s="33" t="str">
        <f>'Apartment Listings'!C63</f>
        <v>Financial District</v>
      </c>
      <c r="G63" s="33">
        <f>VLOOKUP(E63,'Apartment Listings'!B63:N212,13,0)</f>
        <v>36537</v>
      </c>
      <c r="H63" t="str">
        <f>IF(AND('Apartment Listings'!D63&gt;'Financial Worksheet'!$H$5,'Apartment Listings'!D63&lt;'Financial Worksheet'!$H$4),"Y","N")</f>
        <v>N</v>
      </c>
      <c r="I63">
        <f>IF('Inputs and Outputs'!$I$8='Apartment Listings'!D63,'Apartment Scores'!$I$1,0)</f>
        <v>0</v>
      </c>
      <c r="J63">
        <f>IF('Apartment Listings'!F63&gt;='Inputs and Outputs'!$D$36,1,0)</f>
        <v>0</v>
      </c>
      <c r="K63">
        <f>IF('Apartment Listings'!G63&gt;='Inputs and Outputs'!$D$37,1,0)</f>
        <v>1</v>
      </c>
      <c r="L63">
        <f>IF('Apartment Listings'!H63='Inputs and Outputs'!$D$38,1,0)</f>
        <v>1</v>
      </c>
      <c r="M63">
        <f>IF('Apartment Listings'!I63='Inputs and Outputs'!$D$39,1,0)</f>
        <v>1</v>
      </c>
      <c r="N63">
        <f>IF('Apartment Listings'!J63='Inputs and Outputs'!$D$40,1,0)</f>
        <v>1</v>
      </c>
      <c r="O63">
        <f>IF('Apartment Listings'!K63='Inputs and Outputs'!$D$41,1,0)</f>
        <v>1</v>
      </c>
      <c r="P63">
        <f>IF('Apartment Listings'!L63='Inputs and Outputs'!$D$42,1,0)</f>
        <v>0</v>
      </c>
      <c r="Q63">
        <f>IF('Apartment Listings'!M63='Inputs and Outputs'!$D$43,1,0)</f>
        <v>0</v>
      </c>
      <c r="R63">
        <f t="shared" si="4"/>
        <v>0</v>
      </c>
      <c r="T63" s="38">
        <f t="shared" si="5"/>
        <v>2</v>
      </c>
      <c r="U63" s="44">
        <f t="shared" si="6"/>
        <v>117</v>
      </c>
      <c r="W63" t="str">
        <f t="shared" si="26"/>
        <v>Financial District117</v>
      </c>
    </row>
    <row r="64" spans="1:23">
      <c r="A64" s="38">
        <f t="shared" si="27"/>
        <v>2</v>
      </c>
      <c r="B64" s="38" t="str">
        <f t="shared" si="25"/>
        <v>Financial District2</v>
      </c>
      <c r="C64" s="38">
        <f ca="1">IF(F64='Inputs and Outputs'!$H$11,1,IF(F64='Inputs and Outputs'!$H$17,2,IF(F64='Inputs and Outputs'!$H$23,3,0)))</f>
        <v>0</v>
      </c>
      <c r="D64" s="38" t="b">
        <f t="shared" ca="1" si="3"/>
        <v>0</v>
      </c>
      <c r="E64">
        <f>'Apartment Listings'!B64</f>
        <v>61</v>
      </c>
      <c r="F64" s="33" t="str">
        <f>'Apartment Listings'!C64</f>
        <v>Financial District</v>
      </c>
      <c r="G64" s="33">
        <f>VLOOKUP(E64,'Apartment Listings'!B64:N213,13,0)</f>
        <v>60284</v>
      </c>
      <c r="H64" t="str">
        <f>IF(AND('Apartment Listings'!D64&gt;'Financial Worksheet'!$H$5,'Apartment Listings'!D64&lt;'Financial Worksheet'!$H$4),"Y","N")</f>
        <v>Y</v>
      </c>
      <c r="I64">
        <f>IF('Inputs and Outputs'!$I$8='Apartment Listings'!D64,'Apartment Scores'!$I$1,0)</f>
        <v>0</v>
      </c>
      <c r="J64">
        <f>IF('Apartment Listings'!F64&gt;='Inputs and Outputs'!$D$36,1,0)</f>
        <v>0</v>
      </c>
      <c r="K64">
        <f>IF('Apartment Listings'!G64&gt;='Inputs and Outputs'!$D$37,1,0)</f>
        <v>1</v>
      </c>
      <c r="L64">
        <f>IF('Apartment Listings'!H64='Inputs and Outputs'!$D$38,1,0)</f>
        <v>0</v>
      </c>
      <c r="M64">
        <f>IF('Apartment Listings'!I64='Inputs and Outputs'!$D$39,1,0)</f>
        <v>1</v>
      </c>
      <c r="N64">
        <f>IF('Apartment Listings'!J64='Inputs and Outputs'!$D$40,1,0)</f>
        <v>1</v>
      </c>
      <c r="O64">
        <f>IF('Apartment Listings'!K64='Inputs and Outputs'!$D$41,1,0)</f>
        <v>1</v>
      </c>
      <c r="P64">
        <f>IF('Apartment Listings'!L64='Inputs and Outputs'!$D$42,1,0)</f>
        <v>1</v>
      </c>
      <c r="Q64">
        <f>IF('Apartment Listings'!M64='Inputs and Outputs'!$D$43,1,0)</f>
        <v>0</v>
      </c>
      <c r="R64">
        <f t="shared" si="4"/>
        <v>0</v>
      </c>
      <c r="T64" s="38">
        <f t="shared" si="5"/>
        <v>9</v>
      </c>
      <c r="U64" s="44">
        <f t="shared" si="6"/>
        <v>27</v>
      </c>
      <c r="W64" t="str">
        <f t="shared" si="26"/>
        <v>Financial District27</v>
      </c>
    </row>
    <row r="65" spans="1:23">
      <c r="A65" s="38">
        <f t="shared" si="27"/>
        <v>1</v>
      </c>
      <c r="B65" s="38" t="str">
        <f t="shared" si="25"/>
        <v>Fulton/ Seaport1</v>
      </c>
      <c r="C65" s="38">
        <f ca="1">IF(F65='Inputs and Outputs'!$H$11,1,IF(F65='Inputs and Outputs'!$H$17,2,IF(F65='Inputs and Outputs'!$H$23,3,0)))</f>
        <v>0</v>
      </c>
      <c r="D65" s="38" t="b">
        <f t="shared" ca="1" si="3"/>
        <v>0</v>
      </c>
      <c r="E65">
        <f>'Apartment Listings'!B65</f>
        <v>62</v>
      </c>
      <c r="F65" s="33" t="str">
        <f>'Apartment Listings'!C65</f>
        <v>Fulton/ Seaport</v>
      </c>
      <c r="G65" s="33">
        <f>VLOOKUP(E65,'Apartment Listings'!B65:N214,13,0)</f>
        <v>26164</v>
      </c>
      <c r="H65" t="str">
        <f>IF(AND('Apartment Listings'!D65&gt;'Financial Worksheet'!$H$5,'Apartment Listings'!D65&lt;'Financial Worksheet'!$H$4),"Y","N")</f>
        <v>Y</v>
      </c>
      <c r="I65">
        <f>IF('Inputs and Outputs'!$I$8='Apartment Listings'!D65,'Apartment Scores'!$I$1,0)</f>
        <v>0</v>
      </c>
      <c r="J65">
        <f>IF('Apartment Listings'!F65&gt;='Inputs and Outputs'!$D$36,1,0)</f>
        <v>0</v>
      </c>
      <c r="K65">
        <f>IF('Apartment Listings'!G65&gt;='Inputs and Outputs'!$D$37,1,0)</f>
        <v>1</v>
      </c>
      <c r="L65">
        <f>IF('Apartment Listings'!H65='Inputs and Outputs'!$D$38,1,0)</f>
        <v>0</v>
      </c>
      <c r="M65">
        <f>IF('Apartment Listings'!I65='Inputs and Outputs'!$D$39,1,0)</f>
        <v>1</v>
      </c>
      <c r="N65">
        <f>IF('Apartment Listings'!J65='Inputs and Outputs'!$D$40,1,0)</f>
        <v>1</v>
      </c>
      <c r="O65">
        <f>IF('Apartment Listings'!K65='Inputs and Outputs'!$D$41,1,0)</f>
        <v>1</v>
      </c>
      <c r="P65">
        <f>IF('Apartment Listings'!L65='Inputs and Outputs'!$D$42,1,0)</f>
        <v>1</v>
      </c>
      <c r="Q65">
        <f>IF('Apartment Listings'!M65='Inputs and Outputs'!$D$43,1,0)</f>
        <v>1</v>
      </c>
      <c r="R65">
        <f t="shared" si="4"/>
        <v>0</v>
      </c>
      <c r="T65" s="38">
        <f t="shared" si="5"/>
        <v>10</v>
      </c>
      <c r="U65" s="44">
        <f t="shared" si="6"/>
        <v>11</v>
      </c>
      <c r="W65" t="str">
        <f t="shared" si="26"/>
        <v>Fulton/ Seaport11</v>
      </c>
    </row>
    <row r="66" spans="1:23">
      <c r="A66" s="38">
        <f t="shared" si="27"/>
        <v>2</v>
      </c>
      <c r="B66" s="38" t="str">
        <f t="shared" si="25"/>
        <v>Fulton/ Seaport2</v>
      </c>
      <c r="C66" s="38">
        <f ca="1">IF(F66='Inputs and Outputs'!$H$11,1,IF(F66='Inputs and Outputs'!$H$17,2,IF(F66='Inputs and Outputs'!$H$23,3,0)))</f>
        <v>0</v>
      </c>
      <c r="D66" s="38" t="b">
        <f t="shared" ca="1" si="3"/>
        <v>0</v>
      </c>
      <c r="E66">
        <f>'Apartment Listings'!B66</f>
        <v>63</v>
      </c>
      <c r="F66" s="33" t="str">
        <f>'Apartment Listings'!C66</f>
        <v>Fulton/ Seaport</v>
      </c>
      <c r="G66" s="33">
        <f>VLOOKUP(E66,'Apartment Listings'!B66:N215,13,0)</f>
        <v>74956</v>
      </c>
      <c r="H66" t="str">
        <f>IF(AND('Apartment Listings'!D66&gt;'Financial Worksheet'!$H$5,'Apartment Listings'!D66&lt;'Financial Worksheet'!$H$4),"Y","N")</f>
        <v>N</v>
      </c>
      <c r="I66">
        <f>IF('Inputs and Outputs'!$I$8='Apartment Listings'!D66,'Apartment Scores'!$I$1,0)</f>
        <v>0</v>
      </c>
      <c r="J66">
        <f>IF('Apartment Listings'!F66&gt;='Inputs and Outputs'!$D$36,1,0)</f>
        <v>1</v>
      </c>
      <c r="K66">
        <f>IF('Apartment Listings'!G66&gt;='Inputs and Outputs'!$D$37,1,0)</f>
        <v>1</v>
      </c>
      <c r="L66">
        <f>IF('Apartment Listings'!H66='Inputs and Outputs'!$D$38,1,0)</f>
        <v>1</v>
      </c>
      <c r="M66">
        <f>IF('Apartment Listings'!I66='Inputs and Outputs'!$D$39,1,0)</f>
        <v>1</v>
      </c>
      <c r="N66">
        <f>IF('Apartment Listings'!J66='Inputs and Outputs'!$D$40,1,0)</f>
        <v>1</v>
      </c>
      <c r="O66">
        <f>IF('Apartment Listings'!K66='Inputs and Outputs'!$D$41,1,0)</f>
        <v>1</v>
      </c>
      <c r="P66">
        <f>IF('Apartment Listings'!L66='Inputs and Outputs'!$D$42,1,0)</f>
        <v>1</v>
      </c>
      <c r="Q66">
        <f>IF('Apartment Listings'!M66='Inputs and Outputs'!$D$43,1,0)</f>
        <v>0</v>
      </c>
      <c r="R66">
        <f t="shared" si="4"/>
        <v>0</v>
      </c>
      <c r="T66" s="38">
        <f t="shared" si="5"/>
        <v>4</v>
      </c>
      <c r="U66" s="44">
        <f t="shared" si="6"/>
        <v>99</v>
      </c>
      <c r="W66" t="str">
        <f t="shared" si="26"/>
        <v>Fulton/ Seaport99</v>
      </c>
    </row>
    <row r="67" spans="1:23">
      <c r="A67" s="38">
        <f t="shared" si="27"/>
        <v>1</v>
      </c>
      <c r="B67" s="38" t="str">
        <f t="shared" si="25"/>
        <v>Little Italy1</v>
      </c>
      <c r="C67" s="38">
        <f ca="1">IF(F67='Inputs and Outputs'!$H$11,1,IF(F67='Inputs and Outputs'!$H$17,2,IF(F67='Inputs and Outputs'!$H$23,3,0)))</f>
        <v>0</v>
      </c>
      <c r="D67" s="38" t="b">
        <f t="shared" ca="1" si="3"/>
        <v>0</v>
      </c>
      <c r="E67">
        <f>'Apartment Listings'!B67</f>
        <v>64</v>
      </c>
      <c r="F67" s="33" t="str">
        <f>'Apartment Listings'!C67</f>
        <v>Little Italy</v>
      </c>
      <c r="G67" s="33">
        <f>VLOOKUP(E67,'Apartment Listings'!B67:N216,13,0)</f>
        <v>33839</v>
      </c>
      <c r="H67" t="str">
        <f>IF(AND('Apartment Listings'!D67&gt;'Financial Worksheet'!$H$5,'Apartment Listings'!D67&lt;'Financial Worksheet'!$H$4),"Y","N")</f>
        <v>Y</v>
      </c>
      <c r="I67">
        <f>IF('Inputs and Outputs'!$I$8='Apartment Listings'!D67,'Apartment Scores'!$I$1,0)</f>
        <v>0</v>
      </c>
      <c r="J67">
        <f>IF('Apartment Listings'!F67&gt;='Inputs and Outputs'!$D$36,1,0)</f>
        <v>0</v>
      </c>
      <c r="K67">
        <f>IF('Apartment Listings'!G67&gt;='Inputs and Outputs'!$D$37,1,0)</f>
        <v>1</v>
      </c>
      <c r="L67">
        <f>IF('Apartment Listings'!H67='Inputs and Outputs'!$D$38,1,0)</f>
        <v>1</v>
      </c>
      <c r="M67">
        <f>IF('Apartment Listings'!I67='Inputs and Outputs'!$D$39,1,0)</f>
        <v>1</v>
      </c>
      <c r="N67">
        <f>IF('Apartment Listings'!J67='Inputs and Outputs'!$D$40,1,0)</f>
        <v>1</v>
      </c>
      <c r="O67">
        <f>IF('Apartment Listings'!K67='Inputs and Outputs'!$D$41,1,0)</f>
        <v>1</v>
      </c>
      <c r="P67">
        <f>IF('Apartment Listings'!L67='Inputs and Outputs'!$D$42,1,0)</f>
        <v>1</v>
      </c>
      <c r="Q67">
        <f>IF('Apartment Listings'!M67='Inputs and Outputs'!$D$43,1,0)</f>
        <v>0</v>
      </c>
      <c r="R67">
        <f t="shared" si="4"/>
        <v>0</v>
      </c>
      <c r="T67" s="38">
        <f t="shared" si="5"/>
        <v>10</v>
      </c>
      <c r="U67" s="44">
        <f t="shared" si="6"/>
        <v>11</v>
      </c>
      <c r="W67" t="str">
        <f t="shared" si="26"/>
        <v>Little Italy11</v>
      </c>
    </row>
    <row r="68" spans="1:23">
      <c r="A68" s="38">
        <f t="shared" si="27"/>
        <v>2</v>
      </c>
      <c r="B68" s="38" t="str">
        <f t="shared" ref="B68:B99" si="28">CONCATENATE(F68,A68)</f>
        <v>Little Italy2</v>
      </c>
      <c r="C68" s="38">
        <f ca="1">IF(F68='Inputs and Outputs'!$H$11,1,IF(F68='Inputs and Outputs'!$H$17,2,IF(F68='Inputs and Outputs'!$H$23,3,0)))</f>
        <v>0</v>
      </c>
      <c r="D68" s="38" t="b">
        <f t="shared" ca="1" si="3"/>
        <v>0</v>
      </c>
      <c r="E68">
        <f>'Apartment Listings'!B68</f>
        <v>65</v>
      </c>
      <c r="F68" s="33" t="str">
        <f>'Apartment Listings'!C68</f>
        <v>Little Italy</v>
      </c>
      <c r="G68" s="33">
        <f>VLOOKUP(E68,'Apartment Listings'!B68:N217,13,0)</f>
        <v>95895</v>
      </c>
      <c r="H68" t="str">
        <f>IF(AND('Apartment Listings'!D68&gt;'Financial Worksheet'!$H$5,'Apartment Listings'!D68&lt;'Financial Worksheet'!$H$4),"Y","N")</f>
        <v>Y</v>
      </c>
      <c r="I68">
        <f>IF('Inputs and Outputs'!$I$8='Apartment Listings'!D68,'Apartment Scores'!$I$1,0)</f>
        <v>0</v>
      </c>
      <c r="J68">
        <f>IF('Apartment Listings'!F68&gt;='Inputs and Outputs'!$D$36,1,0)</f>
        <v>1</v>
      </c>
      <c r="K68">
        <f>IF('Apartment Listings'!G68&gt;='Inputs and Outputs'!$D$37,1,0)</f>
        <v>1</v>
      </c>
      <c r="L68">
        <f>IF('Apartment Listings'!H68='Inputs and Outputs'!$D$38,1,0)</f>
        <v>0</v>
      </c>
      <c r="M68">
        <f>IF('Apartment Listings'!I68='Inputs and Outputs'!$D$39,1,0)</f>
        <v>1</v>
      </c>
      <c r="N68">
        <f>IF('Apartment Listings'!J68='Inputs and Outputs'!$D$40,1,0)</f>
        <v>0</v>
      </c>
      <c r="O68">
        <f>IF('Apartment Listings'!K68='Inputs and Outputs'!$D$41,1,0)</f>
        <v>0</v>
      </c>
      <c r="P68">
        <f>IF('Apartment Listings'!L68='Inputs and Outputs'!$D$42,1,0)</f>
        <v>0</v>
      </c>
      <c r="Q68">
        <f>IF('Apartment Listings'!M68='Inputs and Outputs'!$D$43,1,0)</f>
        <v>0</v>
      </c>
      <c r="R68">
        <f t="shared" si="4"/>
        <v>0</v>
      </c>
      <c r="T68" s="38">
        <f t="shared" si="5"/>
        <v>7</v>
      </c>
      <c r="U68" s="44">
        <f t="shared" si="6"/>
        <v>61</v>
      </c>
      <c r="W68" t="str">
        <f t="shared" ref="W68:W99" si="29">CONCATENATE(F68,U68)</f>
        <v>Little Italy61</v>
      </c>
    </row>
    <row r="69" spans="1:23">
      <c r="A69" s="38">
        <f t="shared" ref="A69:A100" si="30">IF(F69=F68,A68+1,1)</f>
        <v>1</v>
      </c>
      <c r="B69" s="38" t="str">
        <f t="shared" si="28"/>
        <v>Lower East Side1</v>
      </c>
      <c r="C69" s="38">
        <f ca="1">IF(F69='Inputs and Outputs'!$H$11,1,IF(F69='Inputs and Outputs'!$H$17,2,IF(F69='Inputs and Outputs'!$H$23,3,0)))</f>
        <v>0</v>
      </c>
      <c r="D69" s="38" t="b">
        <f t="shared" ref="D69:D132" ca="1" si="31">IF(C69=$Y$2,VLOOKUP(B69,$AA$4:$AE$23,5,0),IF(C69=$AG$2,VLOOKUP(B69,$AI$4:$AM$23,5,0),IF(C69=$AO$2,VLOOKUP(B69,$AQ$4:$AU$23,5,0))))</f>
        <v>0</v>
      </c>
      <c r="E69">
        <f>'Apartment Listings'!B69</f>
        <v>66</v>
      </c>
      <c r="F69" s="33" t="str">
        <f>'Apartment Listings'!C69</f>
        <v>Lower East Side</v>
      </c>
      <c r="G69" s="33">
        <f>VLOOKUP(E69,'Apartment Listings'!B69:N218,13,0)</f>
        <v>61656</v>
      </c>
      <c r="H69" t="str">
        <f>IF(AND('Apartment Listings'!D69&gt;'Financial Worksheet'!$H$5,'Apartment Listings'!D69&lt;'Financial Worksheet'!$H$4),"Y","N")</f>
        <v>N</v>
      </c>
      <c r="I69">
        <f>IF('Inputs and Outputs'!$I$8='Apartment Listings'!D69,'Apartment Scores'!$I$1,0)</f>
        <v>0</v>
      </c>
      <c r="J69">
        <f>IF('Apartment Listings'!F69&gt;='Inputs and Outputs'!$D$36,1,0)</f>
        <v>0</v>
      </c>
      <c r="K69">
        <f>IF('Apartment Listings'!G69&gt;='Inputs and Outputs'!$D$37,1,0)</f>
        <v>1</v>
      </c>
      <c r="L69">
        <f>IF('Apartment Listings'!H69='Inputs and Outputs'!$D$38,1,0)</f>
        <v>1</v>
      </c>
      <c r="M69">
        <f>IF('Apartment Listings'!I69='Inputs and Outputs'!$D$39,1,0)</f>
        <v>0</v>
      </c>
      <c r="N69">
        <f>IF('Apartment Listings'!J69='Inputs and Outputs'!$D$40,1,0)</f>
        <v>0</v>
      </c>
      <c r="O69">
        <f>IF('Apartment Listings'!K69='Inputs and Outputs'!$D$41,1,0)</f>
        <v>0</v>
      </c>
      <c r="P69">
        <f>IF('Apartment Listings'!L69='Inputs and Outputs'!$D$42,1,0)</f>
        <v>1</v>
      </c>
      <c r="Q69">
        <f>IF('Apartment Listings'!M69='Inputs and Outputs'!$D$43,1,0)</f>
        <v>0</v>
      </c>
      <c r="R69">
        <f t="shared" ref="R69:R132" si="32">IF($J$3=J69,IF($K$3=K69,IF($L$3=L69,IF($M$3=M69,IF($N$3=N69,IF($O$3=O69,IF($P$3=P69,IF($Q$3=Q69,$R$1,0),0),0),0),0),0),0),0)</f>
        <v>0</v>
      </c>
      <c r="T69" s="38">
        <f t="shared" ref="T69:T132" si="33">SUM(I69:R69)+IF(H69="Y",$H$1,-3)</f>
        <v>0</v>
      </c>
      <c r="U69" s="44">
        <f t="shared" ref="U69:U132" si="34">RANK(T69,$T$4:$T$153)</f>
        <v>131</v>
      </c>
      <c r="W69" t="str">
        <f t="shared" si="29"/>
        <v>Lower East Side131</v>
      </c>
    </row>
    <row r="70" spans="1:23">
      <c r="A70" s="38">
        <f t="shared" si="30"/>
        <v>2</v>
      </c>
      <c r="B70" s="38" t="str">
        <f t="shared" si="28"/>
        <v>Lower East Side2</v>
      </c>
      <c r="C70" s="38">
        <f ca="1">IF(F70='Inputs and Outputs'!$H$11,1,IF(F70='Inputs and Outputs'!$H$17,2,IF(F70='Inputs and Outputs'!$H$23,3,0)))</f>
        <v>0</v>
      </c>
      <c r="D70" s="38" t="b">
        <f t="shared" ca="1" si="31"/>
        <v>0</v>
      </c>
      <c r="E70">
        <f>'Apartment Listings'!B70</f>
        <v>67</v>
      </c>
      <c r="F70" s="33" t="str">
        <f>'Apartment Listings'!C70</f>
        <v>Lower East Side</v>
      </c>
      <c r="G70" s="33">
        <f>VLOOKUP(E70,'Apartment Listings'!B70:N219,13,0)</f>
        <v>27585</v>
      </c>
      <c r="H70" t="str">
        <f>IF(AND('Apartment Listings'!D70&gt;'Financial Worksheet'!$H$5,'Apartment Listings'!D70&lt;'Financial Worksheet'!$H$4),"Y","N")</f>
        <v>N</v>
      </c>
      <c r="I70">
        <f>IF('Inputs and Outputs'!$I$8='Apartment Listings'!D70,'Apartment Scores'!$I$1,0)</f>
        <v>0</v>
      </c>
      <c r="J70">
        <f>IF('Apartment Listings'!F70&gt;='Inputs and Outputs'!$D$36,1,0)</f>
        <v>0</v>
      </c>
      <c r="K70">
        <f>IF('Apartment Listings'!G70&gt;='Inputs and Outputs'!$D$37,1,0)</f>
        <v>1</v>
      </c>
      <c r="L70">
        <f>IF('Apartment Listings'!H70='Inputs and Outputs'!$D$38,1,0)</f>
        <v>0</v>
      </c>
      <c r="M70">
        <f>IF('Apartment Listings'!I70='Inputs and Outputs'!$D$39,1,0)</f>
        <v>0</v>
      </c>
      <c r="N70">
        <f>IF('Apartment Listings'!J70='Inputs and Outputs'!$D$40,1,0)</f>
        <v>1</v>
      </c>
      <c r="O70">
        <f>IF('Apartment Listings'!K70='Inputs and Outputs'!$D$41,1,0)</f>
        <v>0</v>
      </c>
      <c r="P70">
        <f>IF('Apartment Listings'!L70='Inputs and Outputs'!$D$42,1,0)</f>
        <v>1</v>
      </c>
      <c r="Q70">
        <f>IF('Apartment Listings'!M70='Inputs and Outputs'!$D$43,1,0)</f>
        <v>0</v>
      </c>
      <c r="R70">
        <f t="shared" si="32"/>
        <v>0</v>
      </c>
      <c r="T70" s="38">
        <f t="shared" si="33"/>
        <v>0</v>
      </c>
      <c r="U70" s="44">
        <f t="shared" si="34"/>
        <v>131</v>
      </c>
      <c r="W70" t="str">
        <f t="shared" si="29"/>
        <v>Lower East Side131</v>
      </c>
    </row>
    <row r="71" spans="1:23">
      <c r="A71" s="38">
        <f t="shared" si="30"/>
        <v>3</v>
      </c>
      <c r="B71" s="38" t="str">
        <f t="shared" si="28"/>
        <v>Lower East Side3</v>
      </c>
      <c r="C71" s="38">
        <f ca="1">IF(F71='Inputs and Outputs'!$H$11,1,IF(F71='Inputs and Outputs'!$H$17,2,IF(F71='Inputs and Outputs'!$H$23,3,0)))</f>
        <v>0</v>
      </c>
      <c r="D71" s="38" t="b">
        <f t="shared" ca="1" si="31"/>
        <v>0</v>
      </c>
      <c r="E71">
        <f>'Apartment Listings'!B71</f>
        <v>68</v>
      </c>
      <c r="F71" s="33" t="str">
        <f>'Apartment Listings'!C71</f>
        <v>Lower East Side</v>
      </c>
      <c r="G71" s="33">
        <f>VLOOKUP(E71,'Apartment Listings'!B71:N220,13,0)</f>
        <v>57644</v>
      </c>
      <c r="H71" t="str">
        <f>IF(AND('Apartment Listings'!D71&gt;'Financial Worksheet'!$H$5,'Apartment Listings'!D71&lt;'Financial Worksheet'!$H$4),"Y","N")</f>
        <v>N</v>
      </c>
      <c r="I71">
        <f>IF('Inputs and Outputs'!$I$8='Apartment Listings'!D71,'Apartment Scores'!$I$1,0)</f>
        <v>0</v>
      </c>
      <c r="J71">
        <f>IF('Apartment Listings'!F71&gt;='Inputs and Outputs'!$D$36,1,0)</f>
        <v>0</v>
      </c>
      <c r="K71">
        <f>IF('Apartment Listings'!G71&gt;='Inputs and Outputs'!$D$37,1,0)</f>
        <v>1</v>
      </c>
      <c r="L71">
        <f>IF('Apartment Listings'!H71='Inputs and Outputs'!$D$38,1,0)</f>
        <v>0</v>
      </c>
      <c r="M71">
        <f>IF('Apartment Listings'!I71='Inputs and Outputs'!$D$39,1,0)</f>
        <v>0</v>
      </c>
      <c r="N71">
        <f>IF('Apartment Listings'!J71='Inputs and Outputs'!$D$40,1,0)</f>
        <v>0</v>
      </c>
      <c r="O71">
        <f>IF('Apartment Listings'!K71='Inputs and Outputs'!$D$41,1,0)</f>
        <v>0</v>
      </c>
      <c r="P71">
        <f>IF('Apartment Listings'!L71='Inputs and Outputs'!$D$42,1,0)</f>
        <v>0</v>
      </c>
      <c r="Q71">
        <f>IF('Apartment Listings'!M71='Inputs and Outputs'!$D$43,1,0)</f>
        <v>0</v>
      </c>
      <c r="R71">
        <f t="shared" si="32"/>
        <v>0</v>
      </c>
      <c r="T71" s="38">
        <f t="shared" si="33"/>
        <v>-2</v>
      </c>
      <c r="U71" s="44">
        <f t="shared" si="34"/>
        <v>147</v>
      </c>
      <c r="W71" t="str">
        <f t="shared" si="29"/>
        <v>Lower East Side147</v>
      </c>
    </row>
    <row r="72" spans="1:23">
      <c r="A72" s="38">
        <f t="shared" si="30"/>
        <v>4</v>
      </c>
      <c r="B72" s="38" t="str">
        <f t="shared" si="28"/>
        <v>Lower East Side4</v>
      </c>
      <c r="C72" s="38">
        <f ca="1">IF(F72='Inputs and Outputs'!$H$11,1,IF(F72='Inputs and Outputs'!$H$17,2,IF(F72='Inputs and Outputs'!$H$23,3,0)))</f>
        <v>0</v>
      </c>
      <c r="D72" s="38" t="b">
        <f t="shared" ca="1" si="31"/>
        <v>0</v>
      </c>
      <c r="E72">
        <f>'Apartment Listings'!B72</f>
        <v>69</v>
      </c>
      <c r="F72" s="33" t="str">
        <f>'Apartment Listings'!C72</f>
        <v>Lower East Side</v>
      </c>
      <c r="G72" s="33">
        <f>VLOOKUP(E72,'Apartment Listings'!B72:N221,13,0)</f>
        <v>24774</v>
      </c>
      <c r="H72" t="str">
        <f>IF(AND('Apartment Listings'!D72&gt;'Financial Worksheet'!$H$5,'Apartment Listings'!D72&lt;'Financial Worksheet'!$H$4),"Y","N")</f>
        <v>Y</v>
      </c>
      <c r="I72">
        <f>IF('Inputs and Outputs'!$I$8='Apartment Listings'!D72,'Apartment Scores'!$I$1,0)</f>
        <v>0</v>
      </c>
      <c r="J72">
        <f>IF('Apartment Listings'!F72&gt;='Inputs and Outputs'!$D$36,1,0)</f>
        <v>1</v>
      </c>
      <c r="K72">
        <f>IF('Apartment Listings'!G72&gt;='Inputs and Outputs'!$D$37,1,0)</f>
        <v>1</v>
      </c>
      <c r="L72">
        <f>IF('Apartment Listings'!H72='Inputs and Outputs'!$D$38,1,0)</f>
        <v>0</v>
      </c>
      <c r="M72">
        <f>IF('Apartment Listings'!I72='Inputs and Outputs'!$D$39,1,0)</f>
        <v>1</v>
      </c>
      <c r="N72">
        <f>IF('Apartment Listings'!J72='Inputs and Outputs'!$D$40,1,0)</f>
        <v>1</v>
      </c>
      <c r="O72">
        <f>IF('Apartment Listings'!K72='Inputs and Outputs'!$D$41,1,0)</f>
        <v>1</v>
      </c>
      <c r="P72">
        <f>IF('Apartment Listings'!L72='Inputs and Outputs'!$D$42,1,0)</f>
        <v>0</v>
      </c>
      <c r="Q72">
        <f>IF('Apartment Listings'!M72='Inputs and Outputs'!$D$43,1,0)</f>
        <v>1</v>
      </c>
      <c r="R72">
        <f t="shared" si="32"/>
        <v>0</v>
      </c>
      <c r="T72" s="38">
        <f t="shared" si="33"/>
        <v>10</v>
      </c>
      <c r="U72" s="44">
        <f t="shared" si="34"/>
        <v>11</v>
      </c>
      <c r="W72" t="str">
        <f t="shared" si="29"/>
        <v>Lower East Side11</v>
      </c>
    </row>
    <row r="73" spans="1:23">
      <c r="A73" s="38">
        <f t="shared" si="30"/>
        <v>5</v>
      </c>
      <c r="B73" s="38" t="str">
        <f t="shared" si="28"/>
        <v>Lower East Side5</v>
      </c>
      <c r="C73" s="38">
        <f ca="1">IF(F73='Inputs and Outputs'!$H$11,1,IF(F73='Inputs and Outputs'!$H$17,2,IF(F73='Inputs and Outputs'!$H$23,3,0)))</f>
        <v>0</v>
      </c>
      <c r="D73" s="38" t="b">
        <f t="shared" ca="1" si="31"/>
        <v>0</v>
      </c>
      <c r="E73">
        <f>'Apartment Listings'!B73</f>
        <v>70</v>
      </c>
      <c r="F73" s="33" t="str">
        <f>'Apartment Listings'!C73</f>
        <v>Lower East Side</v>
      </c>
      <c r="G73" s="33">
        <f>VLOOKUP(E73,'Apartment Listings'!B73:N222,13,0)</f>
        <v>47451</v>
      </c>
      <c r="H73" t="str">
        <f>IF(AND('Apartment Listings'!D73&gt;'Financial Worksheet'!$H$5,'Apartment Listings'!D73&lt;'Financial Worksheet'!$H$4),"Y","N")</f>
        <v>Y</v>
      </c>
      <c r="I73">
        <f>IF('Inputs and Outputs'!$I$8='Apartment Listings'!D73,'Apartment Scores'!$I$1,0)</f>
        <v>0</v>
      </c>
      <c r="J73">
        <f>IF('Apartment Listings'!F73&gt;='Inputs and Outputs'!$D$36,1,0)</f>
        <v>1</v>
      </c>
      <c r="K73">
        <f>IF('Apartment Listings'!G73&gt;='Inputs and Outputs'!$D$37,1,0)</f>
        <v>1</v>
      </c>
      <c r="L73">
        <f>IF('Apartment Listings'!H73='Inputs and Outputs'!$D$38,1,0)</f>
        <v>0</v>
      </c>
      <c r="M73">
        <f>IF('Apartment Listings'!I73='Inputs and Outputs'!$D$39,1,0)</f>
        <v>1</v>
      </c>
      <c r="N73">
        <f>IF('Apartment Listings'!J73='Inputs and Outputs'!$D$40,1,0)</f>
        <v>1</v>
      </c>
      <c r="O73">
        <f>IF('Apartment Listings'!K73='Inputs and Outputs'!$D$41,1,0)</f>
        <v>1</v>
      </c>
      <c r="P73">
        <f>IF('Apartment Listings'!L73='Inputs and Outputs'!$D$42,1,0)</f>
        <v>0</v>
      </c>
      <c r="Q73">
        <f>IF('Apartment Listings'!M73='Inputs and Outputs'!$D$43,1,0)</f>
        <v>0</v>
      </c>
      <c r="R73">
        <f t="shared" si="32"/>
        <v>0</v>
      </c>
      <c r="T73" s="38">
        <f t="shared" si="33"/>
        <v>9</v>
      </c>
      <c r="U73" s="44">
        <f t="shared" si="34"/>
        <v>27</v>
      </c>
      <c r="W73" t="str">
        <f t="shared" si="29"/>
        <v>Lower East Side27</v>
      </c>
    </row>
    <row r="74" spans="1:23">
      <c r="A74" s="38">
        <f t="shared" si="30"/>
        <v>1</v>
      </c>
      <c r="B74" s="38" t="str">
        <f t="shared" si="28"/>
        <v>Nolita1</v>
      </c>
      <c r="C74" s="38">
        <f ca="1">IF(F74='Inputs and Outputs'!$H$11,1,IF(F74='Inputs and Outputs'!$H$17,2,IF(F74='Inputs and Outputs'!$H$23,3,0)))</f>
        <v>0</v>
      </c>
      <c r="D74" s="38" t="b">
        <f t="shared" ca="1" si="31"/>
        <v>0</v>
      </c>
      <c r="E74">
        <f>'Apartment Listings'!B74</f>
        <v>71</v>
      </c>
      <c r="F74" s="33" t="str">
        <f>'Apartment Listings'!C74</f>
        <v>Nolita</v>
      </c>
      <c r="G74" s="33">
        <f>VLOOKUP(E74,'Apartment Listings'!B74:N223,13,0)</f>
        <v>47734</v>
      </c>
      <c r="H74" t="str">
        <f>IF(AND('Apartment Listings'!D74&gt;'Financial Worksheet'!$H$5,'Apartment Listings'!D74&lt;'Financial Worksheet'!$H$4),"Y","N")</f>
        <v>N</v>
      </c>
      <c r="I74">
        <f>IF('Inputs and Outputs'!$I$8='Apartment Listings'!D74,'Apartment Scores'!$I$1,0)</f>
        <v>0</v>
      </c>
      <c r="J74">
        <f>IF('Apartment Listings'!F74&gt;='Inputs and Outputs'!$D$36,1,0)</f>
        <v>1</v>
      </c>
      <c r="K74">
        <f>IF('Apartment Listings'!G74&gt;='Inputs and Outputs'!$D$37,1,0)</f>
        <v>1</v>
      </c>
      <c r="L74">
        <f>IF('Apartment Listings'!H74='Inputs and Outputs'!$D$38,1,0)</f>
        <v>0</v>
      </c>
      <c r="M74">
        <f>IF('Apartment Listings'!I74='Inputs and Outputs'!$D$39,1,0)</f>
        <v>1</v>
      </c>
      <c r="N74">
        <f>IF('Apartment Listings'!J74='Inputs and Outputs'!$D$40,1,0)</f>
        <v>1</v>
      </c>
      <c r="O74">
        <f>IF('Apartment Listings'!K74='Inputs and Outputs'!$D$41,1,0)</f>
        <v>0</v>
      </c>
      <c r="P74">
        <f>IF('Apartment Listings'!L74='Inputs and Outputs'!$D$42,1,0)</f>
        <v>1</v>
      </c>
      <c r="Q74">
        <f>IF('Apartment Listings'!M74='Inputs and Outputs'!$D$43,1,0)</f>
        <v>0</v>
      </c>
      <c r="R74">
        <f t="shared" si="32"/>
        <v>0</v>
      </c>
      <c r="T74" s="38">
        <f t="shared" si="33"/>
        <v>2</v>
      </c>
      <c r="U74" s="44">
        <f t="shared" si="34"/>
        <v>117</v>
      </c>
      <c r="W74" t="str">
        <f t="shared" si="29"/>
        <v>Nolita117</v>
      </c>
    </row>
    <row r="75" spans="1:23">
      <c r="A75" s="38">
        <f t="shared" si="30"/>
        <v>2</v>
      </c>
      <c r="B75" s="38" t="str">
        <f t="shared" si="28"/>
        <v>Nolita2</v>
      </c>
      <c r="C75" s="38">
        <f ca="1">IF(F75='Inputs and Outputs'!$H$11,1,IF(F75='Inputs and Outputs'!$H$17,2,IF(F75='Inputs and Outputs'!$H$23,3,0)))</f>
        <v>0</v>
      </c>
      <c r="D75" s="38" t="b">
        <f t="shared" ca="1" si="31"/>
        <v>0</v>
      </c>
      <c r="E75">
        <f>'Apartment Listings'!B75</f>
        <v>72</v>
      </c>
      <c r="F75" s="33" t="str">
        <f>'Apartment Listings'!C75</f>
        <v>Nolita</v>
      </c>
      <c r="G75" s="33">
        <f>VLOOKUP(E75,'Apartment Listings'!B75:N224,13,0)</f>
        <v>29864</v>
      </c>
      <c r="H75" t="str">
        <f>IF(AND('Apartment Listings'!D75&gt;'Financial Worksheet'!$H$5,'Apartment Listings'!D75&lt;'Financial Worksheet'!$H$4),"Y","N")</f>
        <v>Y</v>
      </c>
      <c r="I75">
        <f>IF('Inputs and Outputs'!$I$8='Apartment Listings'!D75,'Apartment Scores'!$I$1,0)</f>
        <v>0</v>
      </c>
      <c r="J75">
        <f>IF('Apartment Listings'!F75&gt;='Inputs and Outputs'!$D$36,1,0)</f>
        <v>0</v>
      </c>
      <c r="K75">
        <f>IF('Apartment Listings'!G75&gt;='Inputs and Outputs'!$D$37,1,0)</f>
        <v>1</v>
      </c>
      <c r="L75">
        <f>IF('Apartment Listings'!H75='Inputs and Outputs'!$D$38,1,0)</f>
        <v>1</v>
      </c>
      <c r="M75">
        <f>IF('Apartment Listings'!I75='Inputs and Outputs'!$D$39,1,0)</f>
        <v>1</v>
      </c>
      <c r="N75">
        <f>IF('Apartment Listings'!J75='Inputs and Outputs'!$D$40,1,0)</f>
        <v>1</v>
      </c>
      <c r="O75">
        <f>IF('Apartment Listings'!K75='Inputs and Outputs'!$D$41,1,0)</f>
        <v>1</v>
      </c>
      <c r="P75">
        <f>IF('Apartment Listings'!L75='Inputs and Outputs'!$D$42,1,0)</f>
        <v>1</v>
      </c>
      <c r="Q75">
        <f>IF('Apartment Listings'!M75='Inputs and Outputs'!$D$43,1,0)</f>
        <v>0</v>
      </c>
      <c r="R75">
        <f t="shared" si="32"/>
        <v>0</v>
      </c>
      <c r="T75" s="38">
        <f t="shared" si="33"/>
        <v>10</v>
      </c>
      <c r="U75" s="44">
        <f t="shared" si="34"/>
        <v>11</v>
      </c>
      <c r="W75" t="str">
        <f t="shared" si="29"/>
        <v>Nolita11</v>
      </c>
    </row>
    <row r="76" spans="1:23">
      <c r="A76" s="38">
        <f t="shared" si="30"/>
        <v>3</v>
      </c>
      <c r="B76" s="38" t="str">
        <f t="shared" si="28"/>
        <v>Nolita3</v>
      </c>
      <c r="C76" s="38">
        <f ca="1">IF(F76='Inputs and Outputs'!$H$11,1,IF(F76='Inputs and Outputs'!$H$17,2,IF(F76='Inputs and Outputs'!$H$23,3,0)))</f>
        <v>0</v>
      </c>
      <c r="D76" s="38" t="b">
        <f t="shared" ca="1" si="31"/>
        <v>0</v>
      </c>
      <c r="E76">
        <f>'Apartment Listings'!B76</f>
        <v>73</v>
      </c>
      <c r="F76" s="33" t="str">
        <f>'Apartment Listings'!C76</f>
        <v>Nolita</v>
      </c>
      <c r="G76" s="33">
        <f>VLOOKUP(E76,'Apartment Listings'!B76:N225,13,0)</f>
        <v>98378</v>
      </c>
      <c r="H76" t="str">
        <f>IF(AND('Apartment Listings'!D76&gt;'Financial Worksheet'!$H$5,'Apartment Listings'!D76&lt;'Financial Worksheet'!$H$4),"Y","N")</f>
        <v>Y</v>
      </c>
      <c r="I76">
        <f>IF('Inputs and Outputs'!$I$8='Apartment Listings'!D76,'Apartment Scores'!$I$1,0)</f>
        <v>0</v>
      </c>
      <c r="J76">
        <f>IF('Apartment Listings'!F76&gt;='Inputs and Outputs'!$D$36,1,0)</f>
        <v>0</v>
      </c>
      <c r="K76">
        <f>IF('Apartment Listings'!G76&gt;='Inputs and Outputs'!$D$37,1,0)</f>
        <v>1</v>
      </c>
      <c r="L76">
        <f>IF('Apartment Listings'!H76='Inputs and Outputs'!$D$38,1,0)</f>
        <v>1</v>
      </c>
      <c r="M76">
        <f>IF('Apartment Listings'!I76='Inputs and Outputs'!$D$39,1,0)</f>
        <v>1</v>
      </c>
      <c r="N76">
        <f>IF('Apartment Listings'!J76='Inputs and Outputs'!$D$40,1,0)</f>
        <v>1</v>
      </c>
      <c r="O76">
        <f>IF('Apartment Listings'!K76='Inputs and Outputs'!$D$41,1,0)</f>
        <v>1</v>
      </c>
      <c r="P76">
        <f>IF('Apartment Listings'!L76='Inputs and Outputs'!$D$42,1,0)</f>
        <v>0</v>
      </c>
      <c r="Q76">
        <f>IF('Apartment Listings'!M76='Inputs and Outputs'!$D$43,1,0)</f>
        <v>0</v>
      </c>
      <c r="R76">
        <f t="shared" si="32"/>
        <v>0</v>
      </c>
      <c r="T76" s="38">
        <f t="shared" si="33"/>
        <v>9</v>
      </c>
      <c r="U76" s="44">
        <f t="shared" si="34"/>
        <v>27</v>
      </c>
      <c r="W76" t="str">
        <f t="shared" si="29"/>
        <v>Nolita27</v>
      </c>
    </row>
    <row r="77" spans="1:23">
      <c r="A77" s="38">
        <f t="shared" si="30"/>
        <v>1</v>
      </c>
      <c r="B77" s="38" t="str">
        <f t="shared" si="28"/>
        <v>Soho1</v>
      </c>
      <c r="C77" s="38">
        <f ca="1">IF(F77='Inputs and Outputs'!$H$11,1,IF(F77='Inputs and Outputs'!$H$17,2,IF(F77='Inputs and Outputs'!$H$23,3,0)))</f>
        <v>3</v>
      </c>
      <c r="D77" s="38" t="str">
        <f t="shared" ca="1" si="31"/>
        <v>Soho3</v>
      </c>
      <c r="E77">
        <f>'Apartment Listings'!B77</f>
        <v>74</v>
      </c>
      <c r="F77" s="33" t="str">
        <f>'Apartment Listings'!C77</f>
        <v>Soho</v>
      </c>
      <c r="G77" s="33">
        <f>VLOOKUP(E77,'Apartment Listings'!B77:N226,13,0)</f>
        <v>27546</v>
      </c>
      <c r="H77" t="str">
        <f>IF(AND('Apartment Listings'!D77&gt;'Financial Worksheet'!$H$5,'Apartment Listings'!D77&lt;'Financial Worksheet'!$H$4),"Y","N")</f>
        <v>Y</v>
      </c>
      <c r="I77">
        <f>IF('Inputs and Outputs'!$I$8='Apartment Listings'!D77,'Apartment Scores'!$I$1,0)</f>
        <v>0</v>
      </c>
      <c r="J77">
        <f>IF('Apartment Listings'!F77&gt;='Inputs and Outputs'!$D$36,1,0)</f>
        <v>0</v>
      </c>
      <c r="K77">
        <f>IF('Apartment Listings'!G77&gt;='Inputs and Outputs'!$D$37,1,0)</f>
        <v>1</v>
      </c>
      <c r="L77">
        <f>IF('Apartment Listings'!H77='Inputs and Outputs'!$D$38,1,0)</f>
        <v>0</v>
      </c>
      <c r="M77">
        <f>IF('Apartment Listings'!I77='Inputs and Outputs'!$D$39,1,0)</f>
        <v>0</v>
      </c>
      <c r="N77">
        <f>IF('Apartment Listings'!J77='Inputs and Outputs'!$D$40,1,0)</f>
        <v>0</v>
      </c>
      <c r="O77">
        <f>IF('Apartment Listings'!K77='Inputs and Outputs'!$D$41,1,0)</f>
        <v>0</v>
      </c>
      <c r="P77">
        <f>IF('Apartment Listings'!L77='Inputs and Outputs'!$D$42,1,0)</f>
        <v>0</v>
      </c>
      <c r="Q77">
        <f>IF('Apartment Listings'!M77='Inputs and Outputs'!$D$43,1,0)</f>
        <v>0</v>
      </c>
      <c r="R77">
        <f t="shared" si="32"/>
        <v>0</v>
      </c>
      <c r="T77" s="38">
        <f t="shared" si="33"/>
        <v>5</v>
      </c>
      <c r="U77" s="44">
        <f t="shared" si="34"/>
        <v>92</v>
      </c>
      <c r="W77" t="str">
        <f t="shared" si="29"/>
        <v>Soho92</v>
      </c>
    </row>
    <row r="78" spans="1:23">
      <c r="A78" s="38">
        <f t="shared" si="30"/>
        <v>2</v>
      </c>
      <c r="B78" s="38" t="str">
        <f t="shared" si="28"/>
        <v>Soho2</v>
      </c>
      <c r="C78" s="38">
        <f ca="1">IF(F78='Inputs and Outputs'!$H$11,1,IF(F78='Inputs and Outputs'!$H$17,2,IF(F78='Inputs and Outputs'!$H$23,3,0)))</f>
        <v>3</v>
      </c>
      <c r="D78" s="38" t="str">
        <f t="shared" ca="1" si="31"/>
        <v>Soho1</v>
      </c>
      <c r="E78">
        <f>'Apartment Listings'!B78</f>
        <v>75</v>
      </c>
      <c r="F78" s="33" t="str">
        <f>'Apartment Listings'!C78</f>
        <v>Soho</v>
      </c>
      <c r="G78" s="33">
        <f>VLOOKUP(E78,'Apartment Listings'!B78:N227,13,0)</f>
        <v>61400</v>
      </c>
      <c r="H78" t="str">
        <f>IF(AND('Apartment Listings'!D78&gt;'Financial Worksheet'!$H$5,'Apartment Listings'!D78&lt;'Financial Worksheet'!$H$4),"Y","N")</f>
        <v>Y</v>
      </c>
      <c r="I78">
        <f>IF('Inputs and Outputs'!$I$8='Apartment Listings'!D78,'Apartment Scores'!$I$1,0)</f>
        <v>0</v>
      </c>
      <c r="J78">
        <f>IF('Apartment Listings'!F78&gt;='Inputs and Outputs'!$D$36,1,0)</f>
        <v>1</v>
      </c>
      <c r="K78">
        <f>IF('Apartment Listings'!G78&gt;='Inputs and Outputs'!$D$37,1,0)</f>
        <v>1</v>
      </c>
      <c r="L78">
        <f>IF('Apartment Listings'!H78='Inputs and Outputs'!$D$38,1,0)</f>
        <v>0</v>
      </c>
      <c r="M78">
        <f>IF('Apartment Listings'!I78='Inputs and Outputs'!$D$39,1,0)</f>
        <v>1</v>
      </c>
      <c r="N78">
        <f>IF('Apartment Listings'!J78='Inputs and Outputs'!$D$40,1,0)</f>
        <v>0</v>
      </c>
      <c r="O78">
        <f>IF('Apartment Listings'!K78='Inputs and Outputs'!$D$41,1,0)</f>
        <v>0</v>
      </c>
      <c r="P78">
        <f>IF('Apartment Listings'!L78='Inputs and Outputs'!$D$42,1,0)</f>
        <v>0</v>
      </c>
      <c r="Q78">
        <f>IF('Apartment Listings'!M78='Inputs and Outputs'!$D$43,1,0)</f>
        <v>0</v>
      </c>
      <c r="R78">
        <f t="shared" si="32"/>
        <v>0</v>
      </c>
      <c r="T78" s="38">
        <f t="shared" si="33"/>
        <v>7</v>
      </c>
      <c r="U78" s="44">
        <f t="shared" si="34"/>
        <v>61</v>
      </c>
      <c r="W78" t="str">
        <f t="shared" si="29"/>
        <v>Soho61</v>
      </c>
    </row>
    <row r="79" spans="1:23">
      <c r="A79" s="38">
        <f t="shared" si="30"/>
        <v>3</v>
      </c>
      <c r="B79" s="38" t="str">
        <f t="shared" si="28"/>
        <v>Soho3</v>
      </c>
      <c r="C79" s="38">
        <f ca="1">IF(F79='Inputs and Outputs'!$H$11,1,IF(F79='Inputs and Outputs'!$H$17,2,IF(F79='Inputs and Outputs'!$H$23,3,0)))</f>
        <v>3</v>
      </c>
      <c r="D79" s="38" t="str">
        <f t="shared" ca="1" si="31"/>
        <v>Soho4</v>
      </c>
      <c r="E79">
        <f>'Apartment Listings'!B79</f>
        <v>76</v>
      </c>
      <c r="F79" s="33" t="str">
        <f>'Apartment Listings'!C79</f>
        <v>Soho</v>
      </c>
      <c r="G79" s="33">
        <f>VLOOKUP(E79,'Apartment Listings'!B79:N228,13,0)</f>
        <v>45777</v>
      </c>
      <c r="H79" t="str">
        <f>IF(AND('Apartment Listings'!D79&gt;'Financial Worksheet'!$H$5,'Apartment Listings'!D79&lt;'Financial Worksheet'!$H$4),"Y","N")</f>
        <v>N</v>
      </c>
      <c r="I79">
        <f>IF('Inputs and Outputs'!$I$8='Apartment Listings'!D79,'Apartment Scores'!$I$1,0)</f>
        <v>0</v>
      </c>
      <c r="J79">
        <f>IF('Apartment Listings'!F79&gt;='Inputs and Outputs'!$D$36,1,0)</f>
        <v>0</v>
      </c>
      <c r="K79">
        <f>IF('Apartment Listings'!G79&gt;='Inputs and Outputs'!$D$37,1,0)</f>
        <v>1</v>
      </c>
      <c r="L79">
        <f>IF('Apartment Listings'!H79='Inputs and Outputs'!$D$38,1,0)</f>
        <v>0</v>
      </c>
      <c r="M79">
        <f>IF('Apartment Listings'!I79='Inputs and Outputs'!$D$39,1,0)</f>
        <v>0</v>
      </c>
      <c r="N79">
        <f>IF('Apartment Listings'!J79='Inputs and Outputs'!$D$40,1,0)</f>
        <v>0</v>
      </c>
      <c r="O79">
        <f>IF('Apartment Listings'!K79='Inputs and Outputs'!$D$41,1,0)</f>
        <v>0</v>
      </c>
      <c r="P79">
        <f>IF('Apartment Listings'!L79='Inputs and Outputs'!$D$42,1,0)</f>
        <v>0</v>
      </c>
      <c r="Q79">
        <f>IF('Apartment Listings'!M79='Inputs and Outputs'!$D$43,1,0)</f>
        <v>0</v>
      </c>
      <c r="R79">
        <f t="shared" si="32"/>
        <v>0</v>
      </c>
      <c r="T79" s="38">
        <f t="shared" si="33"/>
        <v>-2</v>
      </c>
      <c r="U79" s="44">
        <f t="shared" si="34"/>
        <v>147</v>
      </c>
      <c r="W79" t="str">
        <f t="shared" si="29"/>
        <v>Soho147</v>
      </c>
    </row>
    <row r="80" spans="1:23">
      <c r="A80" s="38">
        <f t="shared" si="30"/>
        <v>4</v>
      </c>
      <c r="B80" s="38" t="str">
        <f t="shared" si="28"/>
        <v>Soho4</v>
      </c>
      <c r="C80" s="38">
        <f ca="1">IF(F80='Inputs and Outputs'!$H$11,1,IF(F80='Inputs and Outputs'!$H$17,2,IF(F80='Inputs and Outputs'!$H$23,3,0)))</f>
        <v>3</v>
      </c>
      <c r="D80" s="38" t="str">
        <f t="shared" ca="1" si="31"/>
        <v>Soho2</v>
      </c>
      <c r="E80">
        <f>'Apartment Listings'!B80</f>
        <v>77</v>
      </c>
      <c r="F80" s="33" t="str">
        <f>'Apartment Listings'!C80</f>
        <v>Soho</v>
      </c>
      <c r="G80" s="33">
        <f>VLOOKUP(E80,'Apartment Listings'!B80:N229,13,0)</f>
        <v>83441</v>
      </c>
      <c r="H80" t="str">
        <f>IF(AND('Apartment Listings'!D80&gt;'Financial Worksheet'!$H$5,'Apartment Listings'!D80&lt;'Financial Worksheet'!$H$4),"Y","N")</f>
        <v>Y</v>
      </c>
      <c r="I80">
        <f>IF('Inputs and Outputs'!$I$8='Apartment Listings'!D80,'Apartment Scores'!$I$1,0)</f>
        <v>0</v>
      </c>
      <c r="J80">
        <f>IF('Apartment Listings'!F80&gt;='Inputs and Outputs'!$D$36,1,0)</f>
        <v>0</v>
      </c>
      <c r="K80">
        <f>IF('Apartment Listings'!G80&gt;='Inputs and Outputs'!$D$37,1,0)</f>
        <v>1</v>
      </c>
      <c r="L80">
        <f>IF('Apartment Listings'!H80='Inputs and Outputs'!$D$38,1,0)</f>
        <v>0</v>
      </c>
      <c r="M80">
        <f>IF('Apartment Listings'!I80='Inputs and Outputs'!$D$39,1,0)</f>
        <v>1</v>
      </c>
      <c r="N80">
        <f>IF('Apartment Listings'!J80='Inputs and Outputs'!$D$40,1,0)</f>
        <v>0</v>
      </c>
      <c r="O80">
        <f>IF('Apartment Listings'!K80='Inputs and Outputs'!$D$41,1,0)</f>
        <v>0</v>
      </c>
      <c r="P80">
        <f>IF('Apartment Listings'!L80='Inputs and Outputs'!$D$42,1,0)</f>
        <v>0</v>
      </c>
      <c r="Q80">
        <f>IF('Apartment Listings'!M80='Inputs and Outputs'!$D$43,1,0)</f>
        <v>0</v>
      </c>
      <c r="R80">
        <f t="shared" si="32"/>
        <v>0</v>
      </c>
      <c r="T80" s="38">
        <f t="shared" si="33"/>
        <v>6</v>
      </c>
      <c r="U80" s="44">
        <f t="shared" si="34"/>
        <v>79</v>
      </c>
      <c r="W80" t="str">
        <f t="shared" si="29"/>
        <v>Soho79</v>
      </c>
    </row>
    <row r="81" spans="1:23">
      <c r="A81" s="38">
        <f t="shared" si="30"/>
        <v>1</v>
      </c>
      <c r="B81" s="38" t="str">
        <f t="shared" si="28"/>
        <v>Tribeca1</v>
      </c>
      <c r="C81" s="38">
        <f ca="1">IF(F81='Inputs and Outputs'!$H$11,1,IF(F81='Inputs and Outputs'!$H$17,2,IF(F81='Inputs and Outputs'!$H$23,3,0)))</f>
        <v>0</v>
      </c>
      <c r="D81" s="38" t="b">
        <f t="shared" ca="1" si="31"/>
        <v>0</v>
      </c>
      <c r="E81">
        <f>'Apartment Listings'!B81</f>
        <v>78</v>
      </c>
      <c r="F81" s="33" t="str">
        <f>'Apartment Listings'!C81</f>
        <v>Tribeca</v>
      </c>
      <c r="G81" s="33">
        <f>VLOOKUP(E81,'Apartment Listings'!B81:N230,13,0)</f>
        <v>62779</v>
      </c>
      <c r="H81" t="str">
        <f>IF(AND('Apartment Listings'!D81&gt;'Financial Worksheet'!$H$5,'Apartment Listings'!D81&lt;'Financial Worksheet'!$H$4),"Y","N")</f>
        <v>Y</v>
      </c>
      <c r="I81">
        <f>IF('Inputs and Outputs'!$I$8='Apartment Listings'!D81,'Apartment Scores'!$I$1,0)</f>
        <v>0</v>
      </c>
      <c r="J81">
        <f>IF('Apartment Listings'!F81&gt;='Inputs and Outputs'!$D$36,1,0)</f>
        <v>0</v>
      </c>
      <c r="K81">
        <f>IF('Apartment Listings'!G81&gt;='Inputs and Outputs'!$D$37,1,0)</f>
        <v>1</v>
      </c>
      <c r="L81">
        <f>IF('Apartment Listings'!H81='Inputs and Outputs'!$D$38,1,0)</f>
        <v>1</v>
      </c>
      <c r="M81">
        <f>IF('Apartment Listings'!I81='Inputs and Outputs'!$D$39,1,0)</f>
        <v>1</v>
      </c>
      <c r="N81">
        <f>IF('Apartment Listings'!J81='Inputs and Outputs'!$D$40,1,0)</f>
        <v>1</v>
      </c>
      <c r="O81">
        <f>IF('Apartment Listings'!K81='Inputs and Outputs'!$D$41,1,0)</f>
        <v>1</v>
      </c>
      <c r="P81">
        <f>IF('Apartment Listings'!L81='Inputs and Outputs'!$D$42,1,0)</f>
        <v>1</v>
      </c>
      <c r="Q81">
        <f>IF('Apartment Listings'!M81='Inputs and Outputs'!$D$43,1,0)</f>
        <v>0</v>
      </c>
      <c r="R81">
        <f t="shared" si="32"/>
        <v>0</v>
      </c>
      <c r="T81" s="38">
        <f t="shared" si="33"/>
        <v>10</v>
      </c>
      <c r="U81" s="44">
        <f t="shared" si="34"/>
        <v>11</v>
      </c>
      <c r="W81" t="str">
        <f t="shared" si="29"/>
        <v>Tribeca11</v>
      </c>
    </row>
    <row r="82" spans="1:23">
      <c r="A82" s="38">
        <f t="shared" si="30"/>
        <v>2</v>
      </c>
      <c r="B82" s="38" t="str">
        <f t="shared" si="28"/>
        <v>Tribeca2</v>
      </c>
      <c r="C82" s="38">
        <f ca="1">IF(F82='Inputs and Outputs'!$H$11,1,IF(F82='Inputs and Outputs'!$H$17,2,IF(F82='Inputs and Outputs'!$H$23,3,0)))</f>
        <v>0</v>
      </c>
      <c r="D82" s="38" t="b">
        <f t="shared" ca="1" si="31"/>
        <v>0</v>
      </c>
      <c r="E82">
        <f>'Apartment Listings'!B82</f>
        <v>79</v>
      </c>
      <c r="F82" s="33" t="str">
        <f>'Apartment Listings'!C82</f>
        <v>Tribeca</v>
      </c>
      <c r="G82" s="33">
        <f>VLOOKUP(E82,'Apartment Listings'!B82:N231,13,0)</f>
        <v>48637</v>
      </c>
      <c r="H82" t="str">
        <f>IF(AND('Apartment Listings'!D82&gt;'Financial Worksheet'!$H$5,'Apartment Listings'!D82&lt;'Financial Worksheet'!$H$4),"Y","N")</f>
        <v>N</v>
      </c>
      <c r="I82">
        <f>IF('Inputs and Outputs'!$I$8='Apartment Listings'!D82,'Apartment Scores'!$I$1,0)</f>
        <v>0</v>
      </c>
      <c r="J82">
        <f>IF('Apartment Listings'!F82&gt;='Inputs and Outputs'!$D$36,1,0)</f>
        <v>0</v>
      </c>
      <c r="K82">
        <f>IF('Apartment Listings'!G82&gt;='Inputs and Outputs'!$D$37,1,0)</f>
        <v>1</v>
      </c>
      <c r="L82">
        <f>IF('Apartment Listings'!H82='Inputs and Outputs'!$D$38,1,0)</f>
        <v>0</v>
      </c>
      <c r="M82">
        <f>IF('Apartment Listings'!I82='Inputs and Outputs'!$D$39,1,0)</f>
        <v>1</v>
      </c>
      <c r="N82">
        <f>IF('Apartment Listings'!J82='Inputs and Outputs'!$D$40,1,0)</f>
        <v>1</v>
      </c>
      <c r="O82">
        <f>IF('Apartment Listings'!K82='Inputs and Outputs'!$D$41,1,0)</f>
        <v>1</v>
      </c>
      <c r="P82">
        <f>IF('Apartment Listings'!L82='Inputs and Outputs'!$D$42,1,0)</f>
        <v>1</v>
      </c>
      <c r="Q82">
        <f>IF('Apartment Listings'!M82='Inputs and Outputs'!$D$43,1,0)</f>
        <v>1</v>
      </c>
      <c r="R82">
        <f t="shared" si="32"/>
        <v>0</v>
      </c>
      <c r="T82" s="38">
        <f t="shared" si="33"/>
        <v>3</v>
      </c>
      <c r="U82" s="44">
        <f t="shared" si="34"/>
        <v>107</v>
      </c>
      <c r="W82" t="str">
        <f t="shared" si="29"/>
        <v>Tribeca107</v>
      </c>
    </row>
    <row r="83" spans="1:23">
      <c r="A83" s="38">
        <f t="shared" si="30"/>
        <v>3</v>
      </c>
      <c r="B83" s="38" t="str">
        <f t="shared" si="28"/>
        <v>Tribeca3</v>
      </c>
      <c r="C83" s="38">
        <f ca="1">IF(F83='Inputs and Outputs'!$H$11,1,IF(F83='Inputs and Outputs'!$H$17,2,IF(F83='Inputs and Outputs'!$H$23,3,0)))</f>
        <v>0</v>
      </c>
      <c r="D83" s="38" t="b">
        <f t="shared" ca="1" si="31"/>
        <v>0</v>
      </c>
      <c r="E83">
        <f>'Apartment Listings'!B83</f>
        <v>80</v>
      </c>
      <c r="F83" s="33" t="str">
        <f>'Apartment Listings'!C83</f>
        <v>Tribeca</v>
      </c>
      <c r="G83" s="33">
        <f>VLOOKUP(E83,'Apartment Listings'!B83:N232,13,0)</f>
        <v>53884</v>
      </c>
      <c r="H83" t="str">
        <f>IF(AND('Apartment Listings'!D83&gt;'Financial Worksheet'!$H$5,'Apartment Listings'!D83&lt;'Financial Worksheet'!$H$4),"Y","N")</f>
        <v>N</v>
      </c>
      <c r="I83">
        <f>IF('Inputs and Outputs'!$I$8='Apartment Listings'!D83,'Apartment Scores'!$I$1,0)</f>
        <v>0</v>
      </c>
      <c r="J83">
        <f>IF('Apartment Listings'!F83&gt;='Inputs and Outputs'!$D$36,1,0)</f>
        <v>1</v>
      </c>
      <c r="K83">
        <f>IF('Apartment Listings'!G83&gt;='Inputs and Outputs'!$D$37,1,0)</f>
        <v>1</v>
      </c>
      <c r="L83">
        <f>IF('Apartment Listings'!H83='Inputs and Outputs'!$D$38,1,0)</f>
        <v>1</v>
      </c>
      <c r="M83">
        <f>IF('Apartment Listings'!I83='Inputs and Outputs'!$D$39,1,0)</f>
        <v>1</v>
      </c>
      <c r="N83">
        <f>IF('Apartment Listings'!J83='Inputs and Outputs'!$D$40,1,0)</f>
        <v>1</v>
      </c>
      <c r="O83">
        <f>IF('Apartment Listings'!K83='Inputs and Outputs'!$D$41,1,0)</f>
        <v>1</v>
      </c>
      <c r="P83">
        <f>IF('Apartment Listings'!L83='Inputs and Outputs'!$D$42,1,0)</f>
        <v>1</v>
      </c>
      <c r="Q83">
        <f>IF('Apartment Listings'!M83='Inputs and Outputs'!$D$43,1,0)</f>
        <v>1</v>
      </c>
      <c r="R83">
        <f t="shared" si="32"/>
        <v>2</v>
      </c>
      <c r="T83" s="38">
        <f t="shared" si="33"/>
        <v>7</v>
      </c>
      <c r="U83" s="44">
        <f t="shared" si="34"/>
        <v>61</v>
      </c>
      <c r="W83" t="str">
        <f t="shared" si="29"/>
        <v>Tribeca61</v>
      </c>
    </row>
    <row r="84" spans="1:23">
      <c r="A84" s="38">
        <f t="shared" si="30"/>
        <v>4</v>
      </c>
      <c r="B84" s="38" t="str">
        <f t="shared" si="28"/>
        <v>Tribeca4</v>
      </c>
      <c r="C84" s="38">
        <f ca="1">IF(F84='Inputs and Outputs'!$H$11,1,IF(F84='Inputs and Outputs'!$H$17,2,IF(F84='Inputs and Outputs'!$H$23,3,0)))</f>
        <v>0</v>
      </c>
      <c r="D84" s="38" t="b">
        <f t="shared" ca="1" si="31"/>
        <v>0</v>
      </c>
      <c r="E84">
        <f>'Apartment Listings'!B84</f>
        <v>81</v>
      </c>
      <c r="F84" s="33" t="str">
        <f>'Apartment Listings'!C84</f>
        <v>Tribeca</v>
      </c>
      <c r="G84" s="33">
        <f>VLOOKUP(E84,'Apartment Listings'!B84:N233,13,0)</f>
        <v>93728</v>
      </c>
      <c r="H84" t="str">
        <f>IF(AND('Apartment Listings'!D84&gt;'Financial Worksheet'!$H$5,'Apartment Listings'!D84&lt;'Financial Worksheet'!$H$4),"Y","N")</f>
        <v>N</v>
      </c>
      <c r="I84">
        <f>IF('Inputs and Outputs'!$I$8='Apartment Listings'!D84,'Apartment Scores'!$I$1,0)</f>
        <v>0</v>
      </c>
      <c r="J84">
        <f>IF('Apartment Listings'!F84&gt;='Inputs and Outputs'!$D$36,1,0)</f>
        <v>1</v>
      </c>
      <c r="K84">
        <f>IF('Apartment Listings'!G84&gt;='Inputs and Outputs'!$D$37,1,0)</f>
        <v>1</v>
      </c>
      <c r="L84">
        <f>IF('Apartment Listings'!H84='Inputs and Outputs'!$D$38,1,0)</f>
        <v>0</v>
      </c>
      <c r="M84">
        <f>IF('Apartment Listings'!I84='Inputs and Outputs'!$D$39,1,0)</f>
        <v>1</v>
      </c>
      <c r="N84">
        <f>IF('Apartment Listings'!J84='Inputs and Outputs'!$D$40,1,0)</f>
        <v>1</v>
      </c>
      <c r="O84">
        <f>IF('Apartment Listings'!K84='Inputs and Outputs'!$D$41,1,0)</f>
        <v>1</v>
      </c>
      <c r="P84">
        <f>IF('Apartment Listings'!L84='Inputs and Outputs'!$D$42,1,0)</f>
        <v>0</v>
      </c>
      <c r="Q84">
        <f>IF('Apartment Listings'!M84='Inputs and Outputs'!$D$43,1,0)</f>
        <v>1</v>
      </c>
      <c r="R84">
        <f t="shared" si="32"/>
        <v>0</v>
      </c>
      <c r="T84" s="38">
        <f t="shared" si="33"/>
        <v>3</v>
      </c>
      <c r="U84" s="44">
        <f t="shared" si="34"/>
        <v>107</v>
      </c>
      <c r="W84" t="str">
        <f t="shared" si="29"/>
        <v>Tribeca107</v>
      </c>
    </row>
    <row r="85" spans="1:23">
      <c r="A85" s="38">
        <f t="shared" si="30"/>
        <v>5</v>
      </c>
      <c r="B85" s="38" t="str">
        <f t="shared" si="28"/>
        <v>Tribeca5</v>
      </c>
      <c r="C85" s="38">
        <f ca="1">IF(F85='Inputs and Outputs'!$H$11,1,IF(F85='Inputs and Outputs'!$H$17,2,IF(F85='Inputs and Outputs'!$H$23,3,0)))</f>
        <v>0</v>
      </c>
      <c r="D85" s="38" t="b">
        <f t="shared" ca="1" si="31"/>
        <v>0</v>
      </c>
      <c r="E85">
        <f>'Apartment Listings'!B85</f>
        <v>82</v>
      </c>
      <c r="F85" s="33" t="str">
        <f>'Apartment Listings'!C85</f>
        <v>Tribeca</v>
      </c>
      <c r="G85" s="33">
        <f>VLOOKUP(E85,'Apartment Listings'!B85:N234,13,0)</f>
        <v>34789</v>
      </c>
      <c r="H85" t="str">
        <f>IF(AND('Apartment Listings'!D85&gt;'Financial Worksheet'!$H$5,'Apartment Listings'!D85&lt;'Financial Worksheet'!$H$4),"Y","N")</f>
        <v>Y</v>
      </c>
      <c r="I85">
        <f>IF('Inputs and Outputs'!$I$8='Apartment Listings'!D85,'Apartment Scores'!$I$1,0)</f>
        <v>0</v>
      </c>
      <c r="J85">
        <f>IF('Apartment Listings'!F85&gt;='Inputs and Outputs'!$D$36,1,0)</f>
        <v>0</v>
      </c>
      <c r="K85">
        <f>IF('Apartment Listings'!G85&gt;='Inputs and Outputs'!$D$37,1,0)</f>
        <v>1</v>
      </c>
      <c r="L85">
        <f>IF('Apartment Listings'!H85='Inputs and Outputs'!$D$38,1,0)</f>
        <v>1</v>
      </c>
      <c r="M85">
        <f>IF('Apartment Listings'!I85='Inputs and Outputs'!$D$39,1,0)</f>
        <v>1</v>
      </c>
      <c r="N85">
        <f>IF('Apartment Listings'!J85='Inputs and Outputs'!$D$40,1,0)</f>
        <v>1</v>
      </c>
      <c r="O85">
        <f>IF('Apartment Listings'!K85='Inputs and Outputs'!$D$41,1,0)</f>
        <v>1</v>
      </c>
      <c r="P85">
        <f>IF('Apartment Listings'!L85='Inputs and Outputs'!$D$42,1,0)</f>
        <v>0</v>
      </c>
      <c r="Q85">
        <f>IF('Apartment Listings'!M85='Inputs and Outputs'!$D$43,1,0)</f>
        <v>0</v>
      </c>
      <c r="R85">
        <f t="shared" si="32"/>
        <v>0</v>
      </c>
      <c r="T85" s="38">
        <f t="shared" si="33"/>
        <v>9</v>
      </c>
      <c r="U85" s="44">
        <f t="shared" si="34"/>
        <v>27</v>
      </c>
      <c r="W85" t="str">
        <f t="shared" si="29"/>
        <v>Tribeca27</v>
      </c>
    </row>
    <row r="86" spans="1:23">
      <c r="A86" s="38">
        <f t="shared" si="30"/>
        <v>6</v>
      </c>
      <c r="B86" s="38" t="str">
        <f t="shared" si="28"/>
        <v>Tribeca6</v>
      </c>
      <c r="C86" s="38">
        <f ca="1">IF(F86='Inputs and Outputs'!$H$11,1,IF(F86='Inputs and Outputs'!$H$17,2,IF(F86='Inputs and Outputs'!$H$23,3,0)))</f>
        <v>0</v>
      </c>
      <c r="D86" s="38" t="b">
        <f t="shared" ca="1" si="31"/>
        <v>0</v>
      </c>
      <c r="E86">
        <f>'Apartment Listings'!B86</f>
        <v>83</v>
      </c>
      <c r="F86" s="33" t="str">
        <f>'Apartment Listings'!C86</f>
        <v>Tribeca</v>
      </c>
      <c r="G86" s="33">
        <f>VLOOKUP(E86,'Apartment Listings'!B86:N235,13,0)</f>
        <v>90790</v>
      </c>
      <c r="H86" t="str">
        <f>IF(AND('Apartment Listings'!D86&gt;'Financial Worksheet'!$H$5,'Apartment Listings'!D86&lt;'Financial Worksheet'!$H$4),"Y","N")</f>
        <v>Y</v>
      </c>
      <c r="I86">
        <f>IF('Inputs and Outputs'!$I$8='Apartment Listings'!D86,'Apartment Scores'!$I$1,0)</f>
        <v>0</v>
      </c>
      <c r="J86">
        <f>IF('Apartment Listings'!F86&gt;='Inputs and Outputs'!$D$36,1,0)</f>
        <v>0</v>
      </c>
      <c r="K86">
        <f>IF('Apartment Listings'!G86&gt;='Inputs and Outputs'!$D$37,1,0)</f>
        <v>1</v>
      </c>
      <c r="L86">
        <f>IF('Apartment Listings'!H86='Inputs and Outputs'!$D$38,1,0)</f>
        <v>1</v>
      </c>
      <c r="M86">
        <f>IF('Apartment Listings'!I86='Inputs and Outputs'!$D$39,1,0)</f>
        <v>1</v>
      </c>
      <c r="N86">
        <f>IF('Apartment Listings'!J86='Inputs and Outputs'!$D$40,1,0)</f>
        <v>1</v>
      </c>
      <c r="O86">
        <f>IF('Apartment Listings'!K86='Inputs and Outputs'!$D$41,1,0)</f>
        <v>1</v>
      </c>
      <c r="P86">
        <f>IF('Apartment Listings'!L86='Inputs and Outputs'!$D$42,1,0)</f>
        <v>0</v>
      </c>
      <c r="Q86">
        <f>IF('Apartment Listings'!M86='Inputs and Outputs'!$D$43,1,0)</f>
        <v>0</v>
      </c>
      <c r="R86">
        <f t="shared" si="32"/>
        <v>0</v>
      </c>
      <c r="T86" s="38">
        <f t="shared" si="33"/>
        <v>9</v>
      </c>
      <c r="U86" s="44">
        <f t="shared" si="34"/>
        <v>27</v>
      </c>
      <c r="W86" t="str">
        <f t="shared" si="29"/>
        <v>Tribeca27</v>
      </c>
    </row>
    <row r="87" spans="1:23">
      <c r="A87" s="38">
        <f t="shared" si="30"/>
        <v>1</v>
      </c>
      <c r="B87" s="38" t="str">
        <f t="shared" si="28"/>
        <v>Two Bridges1</v>
      </c>
      <c r="C87" s="38">
        <f ca="1">IF(F87='Inputs and Outputs'!$H$11,1,IF(F87='Inputs and Outputs'!$H$17,2,IF(F87='Inputs and Outputs'!$H$23,3,0)))</f>
        <v>0</v>
      </c>
      <c r="D87" s="38" t="b">
        <f t="shared" ca="1" si="31"/>
        <v>0</v>
      </c>
      <c r="E87">
        <f>'Apartment Listings'!B87</f>
        <v>84</v>
      </c>
      <c r="F87" s="33" t="str">
        <f>'Apartment Listings'!C87</f>
        <v>Two Bridges</v>
      </c>
      <c r="G87" s="33">
        <f>VLOOKUP(E87,'Apartment Listings'!B87:N236,13,0)</f>
        <v>71605</v>
      </c>
      <c r="H87" t="str">
        <f>IF(AND('Apartment Listings'!D87&gt;'Financial Worksheet'!$H$5,'Apartment Listings'!D87&lt;'Financial Worksheet'!$H$4),"Y","N")</f>
        <v>N</v>
      </c>
      <c r="I87">
        <f>IF('Inputs and Outputs'!$I$8='Apartment Listings'!D87,'Apartment Scores'!$I$1,0)</f>
        <v>0</v>
      </c>
      <c r="J87">
        <f>IF('Apartment Listings'!F87&gt;='Inputs and Outputs'!$D$36,1,0)</f>
        <v>0</v>
      </c>
      <c r="K87">
        <f>IF('Apartment Listings'!G87&gt;='Inputs and Outputs'!$D$37,1,0)</f>
        <v>1</v>
      </c>
      <c r="L87">
        <f>IF('Apartment Listings'!H87='Inputs and Outputs'!$D$38,1,0)</f>
        <v>0</v>
      </c>
      <c r="M87">
        <f>IF('Apartment Listings'!I87='Inputs and Outputs'!$D$39,1,0)</f>
        <v>0</v>
      </c>
      <c r="N87">
        <f>IF('Apartment Listings'!J87='Inputs and Outputs'!$D$40,1,0)</f>
        <v>0</v>
      </c>
      <c r="O87">
        <f>IF('Apartment Listings'!K87='Inputs and Outputs'!$D$41,1,0)</f>
        <v>0</v>
      </c>
      <c r="P87">
        <f>IF('Apartment Listings'!L87='Inputs and Outputs'!$D$42,1,0)</f>
        <v>0</v>
      </c>
      <c r="Q87">
        <f>IF('Apartment Listings'!M87='Inputs and Outputs'!$D$43,1,0)</f>
        <v>0</v>
      </c>
      <c r="R87">
        <f t="shared" si="32"/>
        <v>0</v>
      </c>
      <c r="T87" s="38">
        <f t="shared" si="33"/>
        <v>-2</v>
      </c>
      <c r="U87" s="44">
        <f t="shared" si="34"/>
        <v>147</v>
      </c>
      <c r="W87" t="str">
        <f t="shared" si="29"/>
        <v>Two Bridges147</v>
      </c>
    </row>
    <row r="88" spans="1:23">
      <c r="A88" s="38">
        <f t="shared" si="30"/>
        <v>2</v>
      </c>
      <c r="B88" s="38" t="str">
        <f t="shared" si="28"/>
        <v>Two Bridges2</v>
      </c>
      <c r="C88" s="38">
        <f ca="1">IF(F88='Inputs and Outputs'!$H$11,1,IF(F88='Inputs and Outputs'!$H$17,2,IF(F88='Inputs and Outputs'!$H$23,3,0)))</f>
        <v>0</v>
      </c>
      <c r="D88" s="38" t="b">
        <f t="shared" ca="1" si="31"/>
        <v>0</v>
      </c>
      <c r="E88">
        <f>'Apartment Listings'!B88</f>
        <v>85</v>
      </c>
      <c r="F88" s="33" t="str">
        <f>'Apartment Listings'!C88</f>
        <v>Two Bridges</v>
      </c>
      <c r="G88" s="33">
        <f>VLOOKUP(E88,'Apartment Listings'!B88:N237,13,0)</f>
        <v>18090</v>
      </c>
      <c r="H88" t="str">
        <f>IF(AND('Apartment Listings'!D88&gt;'Financial Worksheet'!$H$5,'Apartment Listings'!D88&lt;'Financial Worksheet'!$H$4),"Y","N")</f>
        <v>Y</v>
      </c>
      <c r="I88">
        <f>IF('Inputs and Outputs'!$I$8='Apartment Listings'!D88,'Apartment Scores'!$I$1,0)</f>
        <v>0</v>
      </c>
      <c r="J88">
        <f>IF('Apartment Listings'!F88&gt;='Inputs and Outputs'!$D$36,1,0)</f>
        <v>1</v>
      </c>
      <c r="K88">
        <f>IF('Apartment Listings'!G88&gt;='Inputs and Outputs'!$D$37,1,0)</f>
        <v>1</v>
      </c>
      <c r="L88">
        <f>IF('Apartment Listings'!H88='Inputs and Outputs'!$D$38,1,0)</f>
        <v>1</v>
      </c>
      <c r="M88">
        <f>IF('Apartment Listings'!I88='Inputs and Outputs'!$D$39,1,0)</f>
        <v>1</v>
      </c>
      <c r="N88">
        <f>IF('Apartment Listings'!J88='Inputs and Outputs'!$D$40,1,0)</f>
        <v>1</v>
      </c>
      <c r="O88">
        <f>IF('Apartment Listings'!K88='Inputs and Outputs'!$D$41,1,0)</f>
        <v>1</v>
      </c>
      <c r="P88">
        <f>IF('Apartment Listings'!L88='Inputs and Outputs'!$D$42,1,0)</f>
        <v>0</v>
      </c>
      <c r="Q88">
        <f>IF('Apartment Listings'!M88='Inputs and Outputs'!$D$43,1,0)</f>
        <v>0</v>
      </c>
      <c r="R88">
        <f t="shared" si="32"/>
        <v>0</v>
      </c>
      <c r="T88" s="38">
        <f t="shared" si="33"/>
        <v>10</v>
      </c>
      <c r="U88" s="44">
        <f t="shared" si="34"/>
        <v>11</v>
      </c>
      <c r="W88" t="str">
        <f t="shared" si="29"/>
        <v>Two Bridges11</v>
      </c>
    </row>
    <row r="89" spans="1:23">
      <c r="A89" s="38">
        <f t="shared" si="30"/>
        <v>1</v>
      </c>
      <c r="B89" s="38" t="str">
        <f t="shared" si="28"/>
        <v>Central Park South1</v>
      </c>
      <c r="C89" s="38">
        <f ca="1">IF(F89='Inputs and Outputs'!$H$11,1,IF(F89='Inputs and Outputs'!$H$17,2,IF(F89='Inputs and Outputs'!$H$23,3,0)))</f>
        <v>0</v>
      </c>
      <c r="D89" s="38" t="b">
        <f t="shared" ca="1" si="31"/>
        <v>0</v>
      </c>
      <c r="E89">
        <f>'Apartment Listings'!B89</f>
        <v>86</v>
      </c>
      <c r="F89" s="33" t="str">
        <f>'Apartment Listings'!C89</f>
        <v>Central Park South</v>
      </c>
      <c r="G89" s="33">
        <f>VLOOKUP(E89,'Apartment Listings'!B89:N238,13,0)</f>
        <v>68538</v>
      </c>
      <c r="H89" t="str">
        <f>IF(AND('Apartment Listings'!D89&gt;'Financial Worksheet'!$H$5,'Apartment Listings'!D89&lt;'Financial Worksheet'!$H$4),"Y","N")</f>
        <v>N</v>
      </c>
      <c r="I89">
        <f>IF('Inputs and Outputs'!$I$8='Apartment Listings'!D89,'Apartment Scores'!$I$1,0)</f>
        <v>0</v>
      </c>
      <c r="J89">
        <f>IF('Apartment Listings'!F89&gt;='Inputs and Outputs'!$D$36,1,0)</f>
        <v>0</v>
      </c>
      <c r="K89">
        <f>IF('Apartment Listings'!G89&gt;='Inputs and Outputs'!$D$37,1,0)</f>
        <v>1</v>
      </c>
      <c r="L89">
        <f>IF('Apartment Listings'!H89='Inputs and Outputs'!$D$38,1,0)</f>
        <v>0</v>
      </c>
      <c r="M89">
        <f>IF('Apartment Listings'!I89='Inputs and Outputs'!$D$39,1,0)</f>
        <v>1</v>
      </c>
      <c r="N89">
        <f>IF('Apartment Listings'!J89='Inputs and Outputs'!$D$40,1,0)</f>
        <v>1</v>
      </c>
      <c r="O89">
        <f>IF('Apartment Listings'!K89='Inputs and Outputs'!$D$41,1,0)</f>
        <v>1</v>
      </c>
      <c r="P89">
        <f>IF('Apartment Listings'!L89='Inputs and Outputs'!$D$42,1,0)</f>
        <v>1</v>
      </c>
      <c r="Q89">
        <f>IF('Apartment Listings'!M89='Inputs and Outputs'!$D$43,1,0)</f>
        <v>0</v>
      </c>
      <c r="R89">
        <f t="shared" si="32"/>
        <v>0</v>
      </c>
      <c r="T89" s="38">
        <f t="shared" si="33"/>
        <v>2</v>
      </c>
      <c r="U89" s="44">
        <f t="shared" si="34"/>
        <v>117</v>
      </c>
      <c r="W89" t="str">
        <f t="shared" si="29"/>
        <v>Central Park South117</v>
      </c>
    </row>
    <row r="90" spans="1:23">
      <c r="A90" s="38">
        <f t="shared" si="30"/>
        <v>1</v>
      </c>
      <c r="B90" s="38" t="str">
        <f t="shared" si="28"/>
        <v>Midtown1</v>
      </c>
      <c r="C90" s="38">
        <f ca="1">IF(F90='Inputs and Outputs'!$H$11,1,IF(F90='Inputs and Outputs'!$H$17,2,IF(F90='Inputs and Outputs'!$H$23,3,0)))</f>
        <v>0</v>
      </c>
      <c r="D90" s="38" t="b">
        <f t="shared" ca="1" si="31"/>
        <v>0</v>
      </c>
      <c r="E90">
        <f>'Apartment Listings'!B90</f>
        <v>87</v>
      </c>
      <c r="F90" s="33" t="str">
        <f>'Apartment Listings'!C90</f>
        <v>Midtown</v>
      </c>
      <c r="G90" s="33">
        <f>VLOOKUP(E90,'Apartment Listings'!B90:N239,13,0)</f>
        <v>36640</v>
      </c>
      <c r="H90" t="str">
        <f>IF(AND('Apartment Listings'!D90&gt;'Financial Worksheet'!$H$5,'Apartment Listings'!D90&lt;'Financial Worksheet'!$H$4),"Y","N")</f>
        <v>Y</v>
      </c>
      <c r="I90">
        <f>IF('Inputs and Outputs'!$I$8='Apartment Listings'!D90,'Apartment Scores'!$I$1,0)</f>
        <v>0</v>
      </c>
      <c r="J90">
        <f>IF('Apartment Listings'!F90&gt;='Inputs and Outputs'!$D$36,1,0)</f>
        <v>0</v>
      </c>
      <c r="K90">
        <f>IF('Apartment Listings'!G90&gt;='Inputs and Outputs'!$D$37,1,0)</f>
        <v>1</v>
      </c>
      <c r="L90">
        <f>IF('Apartment Listings'!H90='Inputs and Outputs'!$D$38,1,0)</f>
        <v>1</v>
      </c>
      <c r="M90">
        <f>IF('Apartment Listings'!I90='Inputs and Outputs'!$D$39,1,0)</f>
        <v>1</v>
      </c>
      <c r="N90">
        <f>IF('Apartment Listings'!J90='Inputs and Outputs'!$D$40,1,0)</f>
        <v>1</v>
      </c>
      <c r="O90">
        <f>IF('Apartment Listings'!K90='Inputs and Outputs'!$D$41,1,0)</f>
        <v>1</v>
      </c>
      <c r="P90">
        <f>IF('Apartment Listings'!L90='Inputs and Outputs'!$D$42,1,0)</f>
        <v>1</v>
      </c>
      <c r="Q90">
        <f>IF('Apartment Listings'!M90='Inputs and Outputs'!$D$43,1,0)</f>
        <v>1</v>
      </c>
      <c r="R90">
        <f t="shared" si="32"/>
        <v>0</v>
      </c>
      <c r="T90" s="38">
        <f t="shared" si="33"/>
        <v>11</v>
      </c>
      <c r="U90" s="44">
        <f t="shared" si="34"/>
        <v>4</v>
      </c>
      <c r="W90" t="str">
        <f t="shared" si="29"/>
        <v>Midtown4</v>
      </c>
    </row>
    <row r="91" spans="1:23">
      <c r="A91" s="38">
        <f t="shared" si="30"/>
        <v>2</v>
      </c>
      <c r="B91" s="38" t="str">
        <f t="shared" si="28"/>
        <v>Midtown2</v>
      </c>
      <c r="C91" s="38">
        <f ca="1">IF(F91='Inputs and Outputs'!$H$11,1,IF(F91='Inputs and Outputs'!$H$17,2,IF(F91='Inputs and Outputs'!$H$23,3,0)))</f>
        <v>0</v>
      </c>
      <c r="D91" s="38" t="b">
        <f t="shared" ca="1" si="31"/>
        <v>0</v>
      </c>
      <c r="E91">
        <f>'Apartment Listings'!B91</f>
        <v>88</v>
      </c>
      <c r="F91" s="33" t="str">
        <f>'Apartment Listings'!C91</f>
        <v>Midtown</v>
      </c>
      <c r="G91" s="33">
        <f>VLOOKUP(E91,'Apartment Listings'!B91:N240,13,0)</f>
        <v>30670</v>
      </c>
      <c r="H91" t="str">
        <f>IF(AND('Apartment Listings'!D91&gt;'Financial Worksheet'!$H$5,'Apartment Listings'!D91&lt;'Financial Worksheet'!$H$4),"Y","N")</f>
        <v>Y</v>
      </c>
      <c r="I91">
        <f>IF('Inputs and Outputs'!$I$8='Apartment Listings'!D91,'Apartment Scores'!$I$1,0)</f>
        <v>0</v>
      </c>
      <c r="J91">
        <f>IF('Apartment Listings'!F91&gt;='Inputs and Outputs'!$D$36,1,0)</f>
        <v>0</v>
      </c>
      <c r="K91">
        <f>IF('Apartment Listings'!G91&gt;='Inputs and Outputs'!$D$37,1,0)</f>
        <v>1</v>
      </c>
      <c r="L91">
        <f>IF('Apartment Listings'!H91='Inputs and Outputs'!$D$38,1,0)</f>
        <v>0</v>
      </c>
      <c r="M91">
        <f>IF('Apartment Listings'!I91='Inputs and Outputs'!$D$39,1,0)</f>
        <v>1</v>
      </c>
      <c r="N91">
        <f>IF('Apartment Listings'!J91='Inputs and Outputs'!$D$40,1,0)</f>
        <v>1</v>
      </c>
      <c r="O91">
        <f>IF('Apartment Listings'!K91='Inputs and Outputs'!$D$41,1,0)</f>
        <v>1</v>
      </c>
      <c r="P91">
        <f>IF('Apartment Listings'!L91='Inputs and Outputs'!$D$42,1,0)</f>
        <v>1</v>
      </c>
      <c r="Q91">
        <f>IF('Apartment Listings'!M91='Inputs and Outputs'!$D$43,1,0)</f>
        <v>1</v>
      </c>
      <c r="R91">
        <f t="shared" si="32"/>
        <v>0</v>
      </c>
      <c r="T91" s="38">
        <f t="shared" si="33"/>
        <v>10</v>
      </c>
      <c r="U91" s="44">
        <f t="shared" si="34"/>
        <v>11</v>
      </c>
      <c r="W91" t="str">
        <f t="shared" si="29"/>
        <v>Midtown11</v>
      </c>
    </row>
    <row r="92" spans="1:23">
      <c r="A92" s="38">
        <f t="shared" si="30"/>
        <v>1</v>
      </c>
      <c r="B92" s="38" t="str">
        <f t="shared" si="28"/>
        <v>Kips Bay1</v>
      </c>
      <c r="C92" s="38">
        <f ca="1">IF(F92='Inputs and Outputs'!$H$11,1,IF(F92='Inputs and Outputs'!$H$17,2,IF(F92='Inputs and Outputs'!$H$23,3,0)))</f>
        <v>0</v>
      </c>
      <c r="D92" s="38" t="b">
        <f t="shared" ca="1" si="31"/>
        <v>0</v>
      </c>
      <c r="E92">
        <f>'Apartment Listings'!B92</f>
        <v>89</v>
      </c>
      <c r="F92" s="33" t="str">
        <f>'Apartment Listings'!C92</f>
        <v>Kips Bay</v>
      </c>
      <c r="G92" s="33">
        <f>VLOOKUP(E92,'Apartment Listings'!B92:N241,13,0)</f>
        <v>34294</v>
      </c>
      <c r="H92" t="str">
        <f>IF(AND('Apartment Listings'!D92&gt;'Financial Worksheet'!$H$5,'Apartment Listings'!D92&lt;'Financial Worksheet'!$H$4),"Y","N")</f>
        <v>Y</v>
      </c>
      <c r="I92">
        <f>IF('Inputs and Outputs'!$I$8='Apartment Listings'!D92,'Apartment Scores'!$I$1,0)</f>
        <v>0</v>
      </c>
      <c r="J92">
        <f>IF('Apartment Listings'!F92&gt;='Inputs and Outputs'!$D$36,1,0)</f>
        <v>0</v>
      </c>
      <c r="K92">
        <f>IF('Apartment Listings'!G92&gt;='Inputs and Outputs'!$D$37,1,0)</f>
        <v>1</v>
      </c>
      <c r="L92">
        <f>IF('Apartment Listings'!H92='Inputs and Outputs'!$D$38,1,0)</f>
        <v>1</v>
      </c>
      <c r="M92">
        <f>IF('Apartment Listings'!I92='Inputs and Outputs'!$D$39,1,0)</f>
        <v>1</v>
      </c>
      <c r="N92">
        <f>IF('Apartment Listings'!J92='Inputs and Outputs'!$D$40,1,0)</f>
        <v>1</v>
      </c>
      <c r="O92">
        <f>IF('Apartment Listings'!K92='Inputs and Outputs'!$D$41,1,0)</f>
        <v>1</v>
      </c>
      <c r="P92">
        <f>IF('Apartment Listings'!L92='Inputs and Outputs'!$D$42,1,0)</f>
        <v>1</v>
      </c>
      <c r="Q92">
        <f>IF('Apartment Listings'!M92='Inputs and Outputs'!$D$43,1,0)</f>
        <v>0</v>
      </c>
      <c r="R92">
        <f t="shared" si="32"/>
        <v>0</v>
      </c>
      <c r="T92" s="38">
        <f t="shared" si="33"/>
        <v>10</v>
      </c>
      <c r="U92" s="44">
        <f t="shared" si="34"/>
        <v>11</v>
      </c>
      <c r="W92" t="str">
        <f t="shared" si="29"/>
        <v>Kips Bay11</v>
      </c>
    </row>
    <row r="93" spans="1:23">
      <c r="A93" s="38">
        <f t="shared" si="30"/>
        <v>2</v>
      </c>
      <c r="B93" s="38" t="str">
        <f t="shared" si="28"/>
        <v>Kips Bay2</v>
      </c>
      <c r="C93" s="38">
        <f ca="1">IF(F93='Inputs and Outputs'!$H$11,1,IF(F93='Inputs and Outputs'!$H$17,2,IF(F93='Inputs and Outputs'!$H$23,3,0)))</f>
        <v>0</v>
      </c>
      <c r="D93" s="38" t="b">
        <f t="shared" ca="1" si="31"/>
        <v>0</v>
      </c>
      <c r="E93">
        <f>'Apartment Listings'!B93</f>
        <v>90</v>
      </c>
      <c r="F93" s="33" t="str">
        <f>'Apartment Listings'!C93</f>
        <v>Kips Bay</v>
      </c>
      <c r="G93" s="33">
        <f>VLOOKUP(E93,'Apartment Listings'!B93:N242,13,0)</f>
        <v>52355</v>
      </c>
      <c r="H93" t="str">
        <f>IF(AND('Apartment Listings'!D93&gt;'Financial Worksheet'!$H$5,'Apartment Listings'!D93&lt;'Financial Worksheet'!$H$4),"Y","N")</f>
        <v>Y</v>
      </c>
      <c r="I93">
        <f>IF('Inputs and Outputs'!$I$8='Apartment Listings'!D93,'Apartment Scores'!$I$1,0)</f>
        <v>0</v>
      </c>
      <c r="J93">
        <f>IF('Apartment Listings'!F93&gt;='Inputs and Outputs'!$D$36,1,0)</f>
        <v>1</v>
      </c>
      <c r="K93">
        <f>IF('Apartment Listings'!G93&gt;='Inputs and Outputs'!$D$37,1,0)</f>
        <v>1</v>
      </c>
      <c r="L93">
        <f>IF('Apartment Listings'!H93='Inputs and Outputs'!$D$38,1,0)</f>
        <v>1</v>
      </c>
      <c r="M93">
        <f>IF('Apartment Listings'!I93='Inputs and Outputs'!$D$39,1,0)</f>
        <v>1</v>
      </c>
      <c r="N93">
        <f>IF('Apartment Listings'!J93='Inputs and Outputs'!$D$40,1,0)</f>
        <v>1</v>
      </c>
      <c r="O93">
        <f>IF('Apartment Listings'!K93='Inputs and Outputs'!$D$41,1,0)</f>
        <v>1</v>
      </c>
      <c r="P93">
        <f>IF('Apartment Listings'!L93='Inputs and Outputs'!$D$42,1,0)</f>
        <v>0</v>
      </c>
      <c r="Q93">
        <f>IF('Apartment Listings'!M93='Inputs and Outputs'!$D$43,1,0)</f>
        <v>0</v>
      </c>
      <c r="R93">
        <f t="shared" si="32"/>
        <v>0</v>
      </c>
      <c r="T93" s="38">
        <f t="shared" si="33"/>
        <v>10</v>
      </c>
      <c r="U93" s="44">
        <f t="shared" si="34"/>
        <v>11</v>
      </c>
      <c r="W93" t="str">
        <f t="shared" si="29"/>
        <v>Kips Bay11</v>
      </c>
    </row>
    <row r="94" spans="1:23">
      <c r="A94" s="38">
        <f t="shared" si="30"/>
        <v>1</v>
      </c>
      <c r="B94" s="38" t="str">
        <f t="shared" si="28"/>
        <v>Murray Hill1</v>
      </c>
      <c r="C94" s="38">
        <f ca="1">IF(F94='Inputs and Outputs'!$H$11,1,IF(F94='Inputs and Outputs'!$H$17,2,IF(F94='Inputs and Outputs'!$H$23,3,0)))</f>
        <v>0</v>
      </c>
      <c r="D94" s="38" t="b">
        <f t="shared" ca="1" si="31"/>
        <v>0</v>
      </c>
      <c r="E94">
        <f>'Apartment Listings'!B94</f>
        <v>91</v>
      </c>
      <c r="F94" s="33" t="str">
        <f>'Apartment Listings'!C94</f>
        <v>Murray Hill</v>
      </c>
      <c r="G94" s="33">
        <f>VLOOKUP(E94,'Apartment Listings'!B94:N243,13,0)</f>
        <v>57853</v>
      </c>
      <c r="H94" t="str">
        <f>IF(AND('Apartment Listings'!D94&gt;'Financial Worksheet'!$H$5,'Apartment Listings'!D94&lt;'Financial Worksheet'!$H$4),"Y","N")</f>
        <v>Y</v>
      </c>
      <c r="I94">
        <f>IF('Inputs and Outputs'!$I$8='Apartment Listings'!D94,'Apartment Scores'!$I$1,0)</f>
        <v>0</v>
      </c>
      <c r="J94">
        <f>IF('Apartment Listings'!F94&gt;='Inputs and Outputs'!$D$36,1,0)</f>
        <v>0</v>
      </c>
      <c r="K94">
        <f>IF('Apartment Listings'!G94&gt;='Inputs and Outputs'!$D$37,1,0)</f>
        <v>1</v>
      </c>
      <c r="L94">
        <f>IF('Apartment Listings'!H94='Inputs and Outputs'!$D$38,1,0)</f>
        <v>1</v>
      </c>
      <c r="M94">
        <f>IF('Apartment Listings'!I94='Inputs and Outputs'!$D$39,1,0)</f>
        <v>1</v>
      </c>
      <c r="N94">
        <f>IF('Apartment Listings'!J94='Inputs and Outputs'!$D$40,1,0)</f>
        <v>1</v>
      </c>
      <c r="O94">
        <f>IF('Apartment Listings'!K94='Inputs and Outputs'!$D$41,1,0)</f>
        <v>1</v>
      </c>
      <c r="P94">
        <f>IF('Apartment Listings'!L94='Inputs and Outputs'!$D$42,1,0)</f>
        <v>1</v>
      </c>
      <c r="Q94">
        <f>IF('Apartment Listings'!M94='Inputs and Outputs'!$D$43,1,0)</f>
        <v>0</v>
      </c>
      <c r="R94">
        <f t="shared" si="32"/>
        <v>0</v>
      </c>
      <c r="T94" s="38">
        <f t="shared" si="33"/>
        <v>10</v>
      </c>
      <c r="U94" s="44">
        <f t="shared" si="34"/>
        <v>11</v>
      </c>
      <c r="W94" t="str">
        <f t="shared" si="29"/>
        <v>Murray Hill11</v>
      </c>
    </row>
    <row r="95" spans="1:23">
      <c r="A95" s="38">
        <f t="shared" si="30"/>
        <v>2</v>
      </c>
      <c r="B95" s="38" t="str">
        <f t="shared" si="28"/>
        <v>Murray Hill2</v>
      </c>
      <c r="C95" s="38">
        <f ca="1">IF(F95='Inputs and Outputs'!$H$11,1,IF(F95='Inputs and Outputs'!$H$17,2,IF(F95='Inputs and Outputs'!$H$23,3,0)))</f>
        <v>0</v>
      </c>
      <c r="D95" s="38" t="b">
        <f t="shared" ca="1" si="31"/>
        <v>0</v>
      </c>
      <c r="E95">
        <f>'Apartment Listings'!B95</f>
        <v>92</v>
      </c>
      <c r="F95" s="33" t="str">
        <f>'Apartment Listings'!C95</f>
        <v>Murray Hill</v>
      </c>
      <c r="G95" s="33">
        <f>VLOOKUP(E95,'Apartment Listings'!B95:N244,13,0)</f>
        <v>22243</v>
      </c>
      <c r="H95" t="str">
        <f>IF(AND('Apartment Listings'!D95&gt;'Financial Worksheet'!$H$5,'Apartment Listings'!D95&lt;'Financial Worksheet'!$H$4),"Y","N")</f>
        <v>N</v>
      </c>
      <c r="I95">
        <f>IF('Inputs and Outputs'!$I$8='Apartment Listings'!D95,'Apartment Scores'!$I$1,0)</f>
        <v>0</v>
      </c>
      <c r="J95">
        <f>IF('Apartment Listings'!F95&gt;='Inputs and Outputs'!$D$36,1,0)</f>
        <v>1</v>
      </c>
      <c r="K95">
        <f>IF('Apartment Listings'!G95&gt;='Inputs and Outputs'!$D$37,1,0)</f>
        <v>1</v>
      </c>
      <c r="L95">
        <f>IF('Apartment Listings'!H95='Inputs and Outputs'!$D$38,1,0)</f>
        <v>1</v>
      </c>
      <c r="M95">
        <f>IF('Apartment Listings'!I95='Inputs and Outputs'!$D$39,1,0)</f>
        <v>1</v>
      </c>
      <c r="N95">
        <f>IF('Apartment Listings'!J95='Inputs and Outputs'!$D$40,1,0)</f>
        <v>1</v>
      </c>
      <c r="O95">
        <f>IF('Apartment Listings'!K95='Inputs and Outputs'!$D$41,1,0)</f>
        <v>1</v>
      </c>
      <c r="P95">
        <f>IF('Apartment Listings'!L95='Inputs and Outputs'!$D$42,1,0)</f>
        <v>1</v>
      </c>
      <c r="Q95">
        <f>IF('Apartment Listings'!M95='Inputs and Outputs'!$D$43,1,0)</f>
        <v>1</v>
      </c>
      <c r="R95">
        <f t="shared" si="32"/>
        <v>2</v>
      </c>
      <c r="T95" s="38">
        <f t="shared" si="33"/>
        <v>7</v>
      </c>
      <c r="U95" s="44">
        <f t="shared" si="34"/>
        <v>61</v>
      </c>
      <c r="W95" t="str">
        <f t="shared" si="29"/>
        <v>Murray Hill61</v>
      </c>
    </row>
    <row r="96" spans="1:23">
      <c r="A96" s="38">
        <f t="shared" si="30"/>
        <v>3</v>
      </c>
      <c r="B96" s="38" t="str">
        <f t="shared" si="28"/>
        <v>Murray Hill3</v>
      </c>
      <c r="C96" s="38">
        <f ca="1">IF(F96='Inputs and Outputs'!$H$11,1,IF(F96='Inputs and Outputs'!$H$17,2,IF(F96='Inputs and Outputs'!$H$23,3,0)))</f>
        <v>0</v>
      </c>
      <c r="D96" s="38" t="b">
        <f t="shared" ca="1" si="31"/>
        <v>0</v>
      </c>
      <c r="E96">
        <f>'Apartment Listings'!B96</f>
        <v>93</v>
      </c>
      <c r="F96" s="33" t="str">
        <f>'Apartment Listings'!C96</f>
        <v>Murray Hill</v>
      </c>
      <c r="G96" s="33">
        <f>VLOOKUP(E96,'Apartment Listings'!B96:N245,13,0)</f>
        <v>77533</v>
      </c>
      <c r="H96" t="str">
        <f>IF(AND('Apartment Listings'!D96&gt;'Financial Worksheet'!$H$5,'Apartment Listings'!D96&lt;'Financial Worksheet'!$H$4),"Y","N")</f>
        <v>N</v>
      </c>
      <c r="I96">
        <f>IF('Inputs and Outputs'!$I$8='Apartment Listings'!D96,'Apartment Scores'!$I$1,0)</f>
        <v>0</v>
      </c>
      <c r="J96">
        <f>IF('Apartment Listings'!F96&gt;='Inputs and Outputs'!$D$36,1,0)</f>
        <v>0</v>
      </c>
      <c r="K96">
        <f>IF('Apartment Listings'!G96&gt;='Inputs and Outputs'!$D$37,1,0)</f>
        <v>1</v>
      </c>
      <c r="L96">
        <f>IF('Apartment Listings'!H96='Inputs and Outputs'!$D$38,1,0)</f>
        <v>0</v>
      </c>
      <c r="M96">
        <f>IF('Apartment Listings'!I96='Inputs and Outputs'!$D$39,1,0)</f>
        <v>1</v>
      </c>
      <c r="N96">
        <f>IF('Apartment Listings'!J96='Inputs and Outputs'!$D$40,1,0)</f>
        <v>1</v>
      </c>
      <c r="O96">
        <f>IF('Apartment Listings'!K96='Inputs and Outputs'!$D$41,1,0)</f>
        <v>1</v>
      </c>
      <c r="P96">
        <f>IF('Apartment Listings'!L96='Inputs and Outputs'!$D$42,1,0)</f>
        <v>1</v>
      </c>
      <c r="Q96">
        <f>IF('Apartment Listings'!M96='Inputs and Outputs'!$D$43,1,0)</f>
        <v>0</v>
      </c>
      <c r="R96">
        <f t="shared" si="32"/>
        <v>0</v>
      </c>
      <c r="T96" s="38">
        <f t="shared" si="33"/>
        <v>2</v>
      </c>
      <c r="U96" s="44">
        <f t="shared" si="34"/>
        <v>117</v>
      </c>
      <c r="W96" t="str">
        <f t="shared" si="29"/>
        <v>Murray Hill117</v>
      </c>
    </row>
    <row r="97" spans="1:23">
      <c r="A97" s="38">
        <f t="shared" si="30"/>
        <v>4</v>
      </c>
      <c r="B97" s="38" t="str">
        <f t="shared" si="28"/>
        <v>Murray Hill4</v>
      </c>
      <c r="C97" s="38">
        <f ca="1">IF(F97='Inputs and Outputs'!$H$11,1,IF(F97='Inputs and Outputs'!$H$17,2,IF(F97='Inputs and Outputs'!$H$23,3,0)))</f>
        <v>0</v>
      </c>
      <c r="D97" s="38" t="b">
        <f t="shared" ca="1" si="31"/>
        <v>0</v>
      </c>
      <c r="E97">
        <f>'Apartment Listings'!B97</f>
        <v>94</v>
      </c>
      <c r="F97" s="33" t="str">
        <f>'Apartment Listings'!C97</f>
        <v>Murray Hill</v>
      </c>
      <c r="G97" s="33">
        <f>VLOOKUP(E97,'Apartment Listings'!B97:N246,13,0)</f>
        <v>16430</v>
      </c>
      <c r="H97" t="str">
        <f>IF(AND('Apartment Listings'!D97&gt;'Financial Worksheet'!$H$5,'Apartment Listings'!D97&lt;'Financial Worksheet'!$H$4),"Y","N")</f>
        <v>Y</v>
      </c>
      <c r="I97">
        <f>IF('Inputs and Outputs'!$I$8='Apartment Listings'!D97,'Apartment Scores'!$I$1,0)</f>
        <v>0</v>
      </c>
      <c r="J97">
        <f>IF('Apartment Listings'!F97&gt;='Inputs and Outputs'!$D$36,1,0)</f>
        <v>0</v>
      </c>
      <c r="K97">
        <f>IF('Apartment Listings'!G97&gt;='Inputs and Outputs'!$D$37,1,0)</f>
        <v>1</v>
      </c>
      <c r="L97">
        <f>IF('Apartment Listings'!H97='Inputs and Outputs'!$D$38,1,0)</f>
        <v>0</v>
      </c>
      <c r="M97">
        <f>IF('Apartment Listings'!I97='Inputs and Outputs'!$D$39,1,0)</f>
        <v>1</v>
      </c>
      <c r="N97">
        <f>IF('Apartment Listings'!J97='Inputs and Outputs'!$D$40,1,0)</f>
        <v>1</v>
      </c>
      <c r="O97">
        <f>IF('Apartment Listings'!K97='Inputs and Outputs'!$D$41,1,0)</f>
        <v>1</v>
      </c>
      <c r="P97">
        <f>IF('Apartment Listings'!L97='Inputs and Outputs'!$D$42,1,0)</f>
        <v>1</v>
      </c>
      <c r="Q97">
        <f>IF('Apartment Listings'!M97='Inputs and Outputs'!$D$43,1,0)</f>
        <v>0</v>
      </c>
      <c r="R97">
        <f t="shared" si="32"/>
        <v>0</v>
      </c>
      <c r="T97" s="38">
        <f t="shared" si="33"/>
        <v>9</v>
      </c>
      <c r="U97" s="44">
        <f t="shared" si="34"/>
        <v>27</v>
      </c>
      <c r="W97" t="str">
        <f t="shared" si="29"/>
        <v>Murray Hill27</v>
      </c>
    </row>
    <row r="98" spans="1:23">
      <c r="A98" s="38">
        <f t="shared" si="30"/>
        <v>1</v>
      </c>
      <c r="B98" s="38" t="str">
        <f t="shared" si="28"/>
        <v>Sutton Place1</v>
      </c>
      <c r="C98" s="38">
        <f ca="1">IF(F98='Inputs and Outputs'!$H$11,1,IF(F98='Inputs and Outputs'!$H$17,2,IF(F98='Inputs and Outputs'!$H$23,3,0)))</f>
        <v>0</v>
      </c>
      <c r="D98" s="38" t="b">
        <f t="shared" ca="1" si="31"/>
        <v>0</v>
      </c>
      <c r="E98">
        <f>'Apartment Listings'!B98</f>
        <v>95</v>
      </c>
      <c r="F98" s="33" t="str">
        <f>'Apartment Listings'!C98</f>
        <v>Sutton Place</v>
      </c>
      <c r="G98" s="33">
        <f>VLOOKUP(E98,'Apartment Listings'!B98:N247,13,0)</f>
        <v>14078</v>
      </c>
      <c r="H98" t="str">
        <f>IF(AND('Apartment Listings'!D98&gt;'Financial Worksheet'!$H$5,'Apartment Listings'!D98&lt;'Financial Worksheet'!$H$4),"Y","N")</f>
        <v>N</v>
      </c>
      <c r="I98">
        <f>IF('Inputs and Outputs'!$I$8='Apartment Listings'!D98,'Apartment Scores'!$I$1,0)</f>
        <v>0</v>
      </c>
      <c r="J98">
        <f>IF('Apartment Listings'!F98&gt;='Inputs and Outputs'!$D$36,1,0)</f>
        <v>0</v>
      </c>
      <c r="K98">
        <f>IF('Apartment Listings'!G98&gt;='Inputs and Outputs'!$D$37,1,0)</f>
        <v>1</v>
      </c>
      <c r="L98">
        <f>IF('Apartment Listings'!H98='Inputs and Outputs'!$D$38,1,0)</f>
        <v>0</v>
      </c>
      <c r="M98">
        <f>IF('Apartment Listings'!I98='Inputs and Outputs'!$D$39,1,0)</f>
        <v>1</v>
      </c>
      <c r="N98">
        <f>IF('Apartment Listings'!J98='Inputs and Outputs'!$D$40,1,0)</f>
        <v>1</v>
      </c>
      <c r="O98">
        <f>IF('Apartment Listings'!K98='Inputs and Outputs'!$D$41,1,0)</f>
        <v>0</v>
      </c>
      <c r="P98">
        <f>IF('Apartment Listings'!L98='Inputs and Outputs'!$D$42,1,0)</f>
        <v>1</v>
      </c>
      <c r="Q98">
        <f>IF('Apartment Listings'!M98='Inputs and Outputs'!$D$43,1,0)</f>
        <v>0</v>
      </c>
      <c r="R98">
        <f t="shared" si="32"/>
        <v>0</v>
      </c>
      <c r="T98" s="38">
        <f t="shared" si="33"/>
        <v>1</v>
      </c>
      <c r="U98" s="44">
        <f t="shared" si="34"/>
        <v>123</v>
      </c>
      <c r="W98" t="str">
        <f t="shared" si="29"/>
        <v>Sutton Place123</v>
      </c>
    </row>
    <row r="99" spans="1:23">
      <c r="A99" s="38">
        <f t="shared" si="30"/>
        <v>2</v>
      </c>
      <c r="B99" s="38" t="str">
        <f t="shared" si="28"/>
        <v>Sutton Place2</v>
      </c>
      <c r="C99" s="38">
        <f ca="1">IF(F99='Inputs and Outputs'!$H$11,1,IF(F99='Inputs and Outputs'!$H$17,2,IF(F99='Inputs and Outputs'!$H$23,3,0)))</f>
        <v>0</v>
      </c>
      <c r="D99" s="38" t="b">
        <f t="shared" ca="1" si="31"/>
        <v>0</v>
      </c>
      <c r="E99">
        <f>'Apartment Listings'!B99</f>
        <v>96</v>
      </c>
      <c r="F99" s="33" t="str">
        <f>'Apartment Listings'!C99</f>
        <v>Sutton Place</v>
      </c>
      <c r="G99" s="33">
        <f>VLOOKUP(E99,'Apartment Listings'!B99:N248,13,0)</f>
        <v>97236</v>
      </c>
      <c r="H99" t="str">
        <f>IF(AND('Apartment Listings'!D99&gt;'Financial Worksheet'!$H$5,'Apartment Listings'!D99&lt;'Financial Worksheet'!$H$4),"Y","N")</f>
        <v>Y</v>
      </c>
      <c r="I99">
        <f>IF('Inputs and Outputs'!$I$8='Apartment Listings'!D99,'Apartment Scores'!$I$1,0)</f>
        <v>0</v>
      </c>
      <c r="J99">
        <f>IF('Apartment Listings'!F99&gt;='Inputs and Outputs'!$D$36,1,0)</f>
        <v>0</v>
      </c>
      <c r="K99">
        <f>IF('Apartment Listings'!G99&gt;='Inputs and Outputs'!$D$37,1,0)</f>
        <v>1</v>
      </c>
      <c r="L99">
        <f>IF('Apartment Listings'!H99='Inputs and Outputs'!$D$38,1,0)</f>
        <v>0</v>
      </c>
      <c r="M99">
        <f>IF('Apartment Listings'!I99='Inputs and Outputs'!$D$39,1,0)</f>
        <v>1</v>
      </c>
      <c r="N99">
        <f>IF('Apartment Listings'!J99='Inputs and Outputs'!$D$40,1,0)</f>
        <v>1</v>
      </c>
      <c r="O99">
        <f>IF('Apartment Listings'!K99='Inputs and Outputs'!$D$41,1,0)</f>
        <v>1</v>
      </c>
      <c r="P99">
        <f>IF('Apartment Listings'!L99='Inputs and Outputs'!$D$42,1,0)</f>
        <v>0</v>
      </c>
      <c r="Q99">
        <f>IF('Apartment Listings'!M99='Inputs and Outputs'!$D$43,1,0)</f>
        <v>1</v>
      </c>
      <c r="R99">
        <f t="shared" si="32"/>
        <v>0</v>
      </c>
      <c r="T99" s="38">
        <f t="shared" si="33"/>
        <v>9</v>
      </c>
      <c r="U99" s="44">
        <f t="shared" si="34"/>
        <v>27</v>
      </c>
      <c r="W99" t="str">
        <f t="shared" si="29"/>
        <v>Sutton Place27</v>
      </c>
    </row>
    <row r="100" spans="1:23">
      <c r="A100" s="38">
        <f t="shared" si="30"/>
        <v>1</v>
      </c>
      <c r="B100" s="38" t="str">
        <f t="shared" ref="B100:B131" si="35">CONCATENATE(F100,A100)</f>
        <v>Turtle Bay1</v>
      </c>
      <c r="C100" s="38">
        <f ca="1">IF(F100='Inputs and Outputs'!$H$11,1,IF(F100='Inputs and Outputs'!$H$17,2,IF(F100='Inputs and Outputs'!$H$23,3,0)))</f>
        <v>0</v>
      </c>
      <c r="D100" s="38" t="b">
        <f t="shared" ca="1" si="31"/>
        <v>0</v>
      </c>
      <c r="E100">
        <f>'Apartment Listings'!B100</f>
        <v>97</v>
      </c>
      <c r="F100" s="33" t="str">
        <f>'Apartment Listings'!C100</f>
        <v>Turtle Bay</v>
      </c>
      <c r="G100" s="33">
        <f>VLOOKUP(E100,'Apartment Listings'!B100:N249,13,0)</f>
        <v>38080</v>
      </c>
      <c r="H100" t="str">
        <f>IF(AND('Apartment Listings'!D100&gt;'Financial Worksheet'!$H$5,'Apartment Listings'!D100&lt;'Financial Worksheet'!$H$4),"Y","N")</f>
        <v>Y</v>
      </c>
      <c r="I100">
        <f>IF('Inputs and Outputs'!$I$8='Apartment Listings'!D100,'Apartment Scores'!$I$1,0)</f>
        <v>0</v>
      </c>
      <c r="J100">
        <f>IF('Apartment Listings'!F100&gt;='Inputs and Outputs'!$D$36,1,0)</f>
        <v>0</v>
      </c>
      <c r="K100">
        <f>IF('Apartment Listings'!G100&gt;='Inputs and Outputs'!$D$37,1,0)</f>
        <v>1</v>
      </c>
      <c r="L100">
        <f>IF('Apartment Listings'!H100='Inputs and Outputs'!$D$38,1,0)</f>
        <v>1</v>
      </c>
      <c r="M100">
        <f>IF('Apartment Listings'!I100='Inputs and Outputs'!$D$39,1,0)</f>
        <v>1</v>
      </c>
      <c r="N100">
        <f>IF('Apartment Listings'!J100='Inputs and Outputs'!$D$40,1,0)</f>
        <v>1</v>
      </c>
      <c r="O100">
        <f>IF('Apartment Listings'!K100='Inputs and Outputs'!$D$41,1,0)</f>
        <v>1</v>
      </c>
      <c r="P100">
        <f>IF('Apartment Listings'!L100='Inputs and Outputs'!$D$42,1,0)</f>
        <v>0</v>
      </c>
      <c r="Q100">
        <f>IF('Apartment Listings'!M100='Inputs and Outputs'!$D$43,1,0)</f>
        <v>0</v>
      </c>
      <c r="R100">
        <f t="shared" si="32"/>
        <v>0</v>
      </c>
      <c r="T100" s="38">
        <f t="shared" si="33"/>
        <v>9</v>
      </c>
      <c r="U100" s="44">
        <f t="shared" si="34"/>
        <v>27</v>
      </c>
      <c r="W100" t="str">
        <f t="shared" ref="W100:W131" si="36">CONCATENATE(F100,U100)</f>
        <v>Turtle Bay27</v>
      </c>
    </row>
    <row r="101" spans="1:23">
      <c r="A101" s="38">
        <f t="shared" ref="A101:A132" si="37">IF(F101=F100,A100+1,1)</f>
        <v>2</v>
      </c>
      <c r="B101" s="38" t="str">
        <f t="shared" si="35"/>
        <v>Turtle Bay2</v>
      </c>
      <c r="C101" s="38">
        <f ca="1">IF(F101='Inputs and Outputs'!$H$11,1,IF(F101='Inputs and Outputs'!$H$17,2,IF(F101='Inputs and Outputs'!$H$23,3,0)))</f>
        <v>0</v>
      </c>
      <c r="D101" s="38" t="b">
        <f t="shared" ca="1" si="31"/>
        <v>0</v>
      </c>
      <c r="E101">
        <f>'Apartment Listings'!B101</f>
        <v>98</v>
      </c>
      <c r="F101" s="33" t="str">
        <f>'Apartment Listings'!C101</f>
        <v>Turtle Bay</v>
      </c>
      <c r="G101" s="33">
        <f>VLOOKUP(E101,'Apartment Listings'!B101:N250,13,0)</f>
        <v>11113</v>
      </c>
      <c r="H101" t="str">
        <f>IF(AND('Apartment Listings'!D101&gt;'Financial Worksheet'!$H$5,'Apartment Listings'!D101&lt;'Financial Worksheet'!$H$4),"Y","N")</f>
        <v>Y</v>
      </c>
      <c r="I101">
        <f>IF('Inputs and Outputs'!$I$8='Apartment Listings'!D101,'Apartment Scores'!$I$1,0)</f>
        <v>0</v>
      </c>
      <c r="J101">
        <f>IF('Apartment Listings'!F101&gt;='Inputs and Outputs'!$D$36,1,0)</f>
        <v>0</v>
      </c>
      <c r="K101">
        <f>IF('Apartment Listings'!G101&gt;='Inputs and Outputs'!$D$37,1,0)</f>
        <v>1</v>
      </c>
      <c r="L101">
        <f>IF('Apartment Listings'!H101='Inputs and Outputs'!$D$38,1,0)</f>
        <v>0</v>
      </c>
      <c r="M101">
        <f>IF('Apartment Listings'!I101='Inputs and Outputs'!$D$39,1,0)</f>
        <v>1</v>
      </c>
      <c r="N101">
        <f>IF('Apartment Listings'!J101='Inputs and Outputs'!$D$40,1,0)</f>
        <v>1</v>
      </c>
      <c r="O101">
        <f>IF('Apartment Listings'!K101='Inputs and Outputs'!$D$41,1,0)</f>
        <v>1</v>
      </c>
      <c r="P101">
        <f>IF('Apartment Listings'!L101='Inputs and Outputs'!$D$42,1,0)</f>
        <v>1</v>
      </c>
      <c r="Q101">
        <f>IF('Apartment Listings'!M101='Inputs and Outputs'!$D$43,1,0)</f>
        <v>0</v>
      </c>
      <c r="R101">
        <f t="shared" si="32"/>
        <v>0</v>
      </c>
      <c r="T101" s="38">
        <f t="shared" si="33"/>
        <v>9</v>
      </c>
      <c r="U101" s="44">
        <f t="shared" si="34"/>
        <v>27</v>
      </c>
      <c r="W101" t="str">
        <f t="shared" si="36"/>
        <v>Turtle Bay27</v>
      </c>
    </row>
    <row r="102" spans="1:23">
      <c r="A102" s="38">
        <f t="shared" si="37"/>
        <v>1</v>
      </c>
      <c r="B102" s="38" t="str">
        <f t="shared" si="35"/>
        <v>Midtown South1</v>
      </c>
      <c r="C102" s="38">
        <f ca="1">IF(F102='Inputs and Outputs'!$H$11,1,IF(F102='Inputs and Outputs'!$H$17,2,IF(F102='Inputs and Outputs'!$H$23,3,0)))</f>
        <v>0</v>
      </c>
      <c r="D102" s="38" t="b">
        <f t="shared" ca="1" si="31"/>
        <v>0</v>
      </c>
      <c r="E102">
        <f>'Apartment Listings'!B102</f>
        <v>99</v>
      </c>
      <c r="F102" s="33" t="str">
        <f>'Apartment Listings'!C102</f>
        <v>Midtown South</v>
      </c>
      <c r="G102" s="33">
        <f>VLOOKUP(E102,'Apartment Listings'!B102:N251,13,0)</f>
        <v>54735</v>
      </c>
      <c r="H102" t="str">
        <f>IF(AND('Apartment Listings'!D102&gt;'Financial Worksheet'!$H$5,'Apartment Listings'!D102&lt;'Financial Worksheet'!$H$4),"Y","N")</f>
        <v>Y</v>
      </c>
      <c r="I102">
        <f>IF('Inputs and Outputs'!$I$8='Apartment Listings'!D102,'Apartment Scores'!$I$1,0)</f>
        <v>0</v>
      </c>
      <c r="J102">
        <f>IF('Apartment Listings'!F102&gt;='Inputs and Outputs'!$D$36,1,0)</f>
        <v>0</v>
      </c>
      <c r="K102">
        <f>IF('Apartment Listings'!G102&gt;='Inputs and Outputs'!$D$37,1,0)</f>
        <v>1</v>
      </c>
      <c r="L102">
        <f>IF('Apartment Listings'!H102='Inputs and Outputs'!$D$38,1,0)</f>
        <v>1</v>
      </c>
      <c r="M102">
        <f>IF('Apartment Listings'!I102='Inputs and Outputs'!$D$39,1,0)</f>
        <v>1</v>
      </c>
      <c r="N102">
        <f>IF('Apartment Listings'!J102='Inputs and Outputs'!$D$40,1,0)</f>
        <v>1</v>
      </c>
      <c r="O102">
        <f>IF('Apartment Listings'!K102='Inputs and Outputs'!$D$41,1,0)</f>
        <v>0</v>
      </c>
      <c r="P102">
        <f>IF('Apartment Listings'!L102='Inputs and Outputs'!$D$42,1,0)</f>
        <v>1</v>
      </c>
      <c r="Q102">
        <f>IF('Apartment Listings'!M102='Inputs and Outputs'!$D$43,1,0)</f>
        <v>0</v>
      </c>
      <c r="R102">
        <f t="shared" si="32"/>
        <v>0</v>
      </c>
      <c r="T102" s="38">
        <f t="shared" si="33"/>
        <v>9</v>
      </c>
      <c r="U102" s="44">
        <f t="shared" si="34"/>
        <v>27</v>
      </c>
      <c r="W102" t="str">
        <f t="shared" si="36"/>
        <v>Midtown South27</v>
      </c>
    </row>
    <row r="103" spans="1:23">
      <c r="A103" s="38">
        <f t="shared" si="37"/>
        <v>2</v>
      </c>
      <c r="B103" s="38" t="str">
        <f t="shared" si="35"/>
        <v>Midtown South2</v>
      </c>
      <c r="C103" s="38">
        <f ca="1">IF(F103='Inputs and Outputs'!$H$11,1,IF(F103='Inputs and Outputs'!$H$17,2,IF(F103='Inputs and Outputs'!$H$23,3,0)))</f>
        <v>0</v>
      </c>
      <c r="D103" s="38" t="b">
        <f t="shared" ca="1" si="31"/>
        <v>0</v>
      </c>
      <c r="E103">
        <f>'Apartment Listings'!B103</f>
        <v>100</v>
      </c>
      <c r="F103" s="33" t="str">
        <f>'Apartment Listings'!C103</f>
        <v>Midtown South</v>
      </c>
      <c r="G103" s="33">
        <f>VLOOKUP(E103,'Apartment Listings'!B103:N252,13,0)</f>
        <v>85070</v>
      </c>
      <c r="H103" t="str">
        <f>IF(AND('Apartment Listings'!D103&gt;'Financial Worksheet'!$H$5,'Apartment Listings'!D103&lt;'Financial Worksheet'!$H$4),"Y","N")</f>
        <v>Y</v>
      </c>
      <c r="I103">
        <f>IF('Inputs and Outputs'!$I$8='Apartment Listings'!D103,'Apartment Scores'!$I$1,0)</f>
        <v>2</v>
      </c>
      <c r="J103">
        <f>IF('Apartment Listings'!F103&gt;='Inputs and Outputs'!$D$36,1,0)</f>
        <v>0</v>
      </c>
      <c r="K103">
        <f>IF('Apartment Listings'!G103&gt;='Inputs and Outputs'!$D$37,1,0)</f>
        <v>1</v>
      </c>
      <c r="L103">
        <f>IF('Apartment Listings'!H103='Inputs and Outputs'!$D$38,1,0)</f>
        <v>0</v>
      </c>
      <c r="M103">
        <f>IF('Apartment Listings'!I103='Inputs and Outputs'!$D$39,1,0)</f>
        <v>1</v>
      </c>
      <c r="N103">
        <f>IF('Apartment Listings'!J103='Inputs and Outputs'!$D$40,1,0)</f>
        <v>1</v>
      </c>
      <c r="O103">
        <f>IF('Apartment Listings'!K103='Inputs and Outputs'!$D$41,1,0)</f>
        <v>1</v>
      </c>
      <c r="P103">
        <f>IF('Apartment Listings'!L103='Inputs and Outputs'!$D$42,1,0)</f>
        <v>1</v>
      </c>
      <c r="Q103">
        <f>IF('Apartment Listings'!M103='Inputs and Outputs'!$D$43,1,0)</f>
        <v>0</v>
      </c>
      <c r="R103">
        <f t="shared" si="32"/>
        <v>0</v>
      </c>
      <c r="T103" s="38">
        <f t="shared" si="33"/>
        <v>11</v>
      </c>
      <c r="U103" s="44">
        <f t="shared" si="34"/>
        <v>4</v>
      </c>
      <c r="W103" t="str">
        <f t="shared" si="36"/>
        <v>Midtown South4</v>
      </c>
    </row>
    <row r="104" spans="1:23">
      <c r="A104" s="38">
        <f t="shared" si="37"/>
        <v>1</v>
      </c>
      <c r="B104" s="38" t="str">
        <f t="shared" si="35"/>
        <v>Clinton1</v>
      </c>
      <c r="C104" s="38">
        <f ca="1">IF(F104='Inputs and Outputs'!$H$11,1,IF(F104='Inputs and Outputs'!$H$17,2,IF(F104='Inputs and Outputs'!$H$23,3,0)))</f>
        <v>0</v>
      </c>
      <c r="D104" s="38" t="b">
        <f t="shared" ca="1" si="31"/>
        <v>0</v>
      </c>
      <c r="E104">
        <f>'Apartment Listings'!B104</f>
        <v>101</v>
      </c>
      <c r="F104" s="33" t="str">
        <f>'Apartment Listings'!C104</f>
        <v>Clinton</v>
      </c>
      <c r="G104" s="33">
        <f>VLOOKUP(E104,'Apartment Listings'!B104:N253,13,0)</f>
        <v>38934</v>
      </c>
      <c r="H104" t="str">
        <f>IF(AND('Apartment Listings'!D104&gt;'Financial Worksheet'!$H$5,'Apartment Listings'!D104&lt;'Financial Worksheet'!$H$4),"Y","N")</f>
        <v>Y</v>
      </c>
      <c r="I104">
        <f>IF('Inputs and Outputs'!$I$8='Apartment Listings'!D104,'Apartment Scores'!$I$1,0)</f>
        <v>0</v>
      </c>
      <c r="J104">
        <f>IF('Apartment Listings'!F104&gt;='Inputs and Outputs'!$D$36,1,0)</f>
        <v>0</v>
      </c>
      <c r="K104">
        <f>IF('Apartment Listings'!G104&gt;='Inputs and Outputs'!$D$37,1,0)</f>
        <v>1</v>
      </c>
      <c r="L104">
        <f>IF('Apartment Listings'!H104='Inputs and Outputs'!$D$38,1,0)</f>
        <v>0</v>
      </c>
      <c r="M104">
        <f>IF('Apartment Listings'!I104='Inputs and Outputs'!$D$39,1,0)</f>
        <v>1</v>
      </c>
      <c r="N104">
        <f>IF('Apartment Listings'!J104='Inputs and Outputs'!$D$40,1,0)</f>
        <v>1</v>
      </c>
      <c r="O104">
        <f>IF('Apartment Listings'!K104='Inputs and Outputs'!$D$41,1,0)</f>
        <v>1</v>
      </c>
      <c r="P104">
        <f>IF('Apartment Listings'!L104='Inputs and Outputs'!$D$42,1,0)</f>
        <v>0</v>
      </c>
      <c r="Q104">
        <f>IF('Apartment Listings'!M104='Inputs and Outputs'!$D$43,1,0)</f>
        <v>0</v>
      </c>
      <c r="R104">
        <f t="shared" si="32"/>
        <v>0</v>
      </c>
      <c r="T104" s="38">
        <f t="shared" si="33"/>
        <v>8</v>
      </c>
      <c r="U104" s="44">
        <f t="shared" si="34"/>
        <v>48</v>
      </c>
      <c r="W104" t="str">
        <f t="shared" si="36"/>
        <v>Clinton48</v>
      </c>
    </row>
    <row r="105" spans="1:23">
      <c r="A105" s="38">
        <f t="shared" si="37"/>
        <v>2</v>
      </c>
      <c r="B105" s="38" t="str">
        <f t="shared" si="35"/>
        <v>Clinton2</v>
      </c>
      <c r="C105" s="38">
        <f ca="1">IF(F105='Inputs and Outputs'!$H$11,1,IF(F105='Inputs and Outputs'!$H$17,2,IF(F105='Inputs and Outputs'!$H$23,3,0)))</f>
        <v>0</v>
      </c>
      <c r="D105" s="38" t="b">
        <f t="shared" ca="1" si="31"/>
        <v>0</v>
      </c>
      <c r="E105">
        <f>'Apartment Listings'!B105</f>
        <v>102</v>
      </c>
      <c r="F105" s="33" t="str">
        <f>'Apartment Listings'!C105</f>
        <v>Clinton</v>
      </c>
      <c r="G105" s="33">
        <f>VLOOKUP(E105,'Apartment Listings'!B105:N254,13,0)</f>
        <v>63180</v>
      </c>
      <c r="H105" t="str">
        <f>IF(AND('Apartment Listings'!D105&gt;'Financial Worksheet'!$H$5,'Apartment Listings'!D105&lt;'Financial Worksheet'!$H$4),"Y","N")</f>
        <v>Y</v>
      </c>
      <c r="I105">
        <f>IF('Inputs and Outputs'!$I$8='Apartment Listings'!D105,'Apartment Scores'!$I$1,0)</f>
        <v>0</v>
      </c>
      <c r="J105">
        <f>IF('Apartment Listings'!F105&gt;='Inputs and Outputs'!$D$36,1,0)</f>
        <v>0</v>
      </c>
      <c r="K105">
        <f>IF('Apartment Listings'!G105&gt;='Inputs and Outputs'!$D$37,1,0)</f>
        <v>1</v>
      </c>
      <c r="L105">
        <f>IF('Apartment Listings'!H105='Inputs and Outputs'!$D$38,1,0)</f>
        <v>0</v>
      </c>
      <c r="M105">
        <f>IF('Apartment Listings'!I105='Inputs and Outputs'!$D$39,1,0)</f>
        <v>1</v>
      </c>
      <c r="N105">
        <f>IF('Apartment Listings'!J105='Inputs and Outputs'!$D$40,1,0)</f>
        <v>1</v>
      </c>
      <c r="O105">
        <f>IF('Apartment Listings'!K105='Inputs and Outputs'!$D$41,1,0)</f>
        <v>1</v>
      </c>
      <c r="P105">
        <f>IF('Apartment Listings'!L105='Inputs and Outputs'!$D$42,1,0)</f>
        <v>1</v>
      </c>
      <c r="Q105">
        <f>IF('Apartment Listings'!M105='Inputs and Outputs'!$D$43,1,0)</f>
        <v>0</v>
      </c>
      <c r="R105">
        <f t="shared" si="32"/>
        <v>0</v>
      </c>
      <c r="T105" s="38">
        <f t="shared" si="33"/>
        <v>9</v>
      </c>
      <c r="U105" s="44">
        <f t="shared" si="34"/>
        <v>27</v>
      </c>
      <c r="W105" t="str">
        <f t="shared" si="36"/>
        <v>Clinton27</v>
      </c>
    </row>
    <row r="106" spans="1:23">
      <c r="A106" s="38">
        <f t="shared" si="37"/>
        <v>3</v>
      </c>
      <c r="B106" s="38" t="str">
        <f t="shared" si="35"/>
        <v>Clinton3</v>
      </c>
      <c r="C106" s="38">
        <f ca="1">IF(F106='Inputs and Outputs'!$H$11,1,IF(F106='Inputs and Outputs'!$H$17,2,IF(F106='Inputs and Outputs'!$H$23,3,0)))</f>
        <v>0</v>
      </c>
      <c r="D106" s="38" t="b">
        <f t="shared" ca="1" si="31"/>
        <v>0</v>
      </c>
      <c r="E106">
        <f>'Apartment Listings'!B106</f>
        <v>103</v>
      </c>
      <c r="F106" s="33" t="str">
        <f>'Apartment Listings'!C106</f>
        <v>Clinton</v>
      </c>
      <c r="G106" s="33">
        <f>VLOOKUP(E106,'Apartment Listings'!B106:N255,13,0)</f>
        <v>91777</v>
      </c>
      <c r="H106" t="str">
        <f>IF(AND('Apartment Listings'!D106&gt;'Financial Worksheet'!$H$5,'Apartment Listings'!D106&lt;'Financial Worksheet'!$H$4),"Y","N")</f>
        <v>Y</v>
      </c>
      <c r="I106">
        <f>IF('Inputs and Outputs'!$I$8='Apartment Listings'!D106,'Apartment Scores'!$I$1,0)</f>
        <v>0</v>
      </c>
      <c r="J106">
        <f>IF('Apartment Listings'!F106&gt;='Inputs and Outputs'!$D$36,1,0)</f>
        <v>0</v>
      </c>
      <c r="K106">
        <f>IF('Apartment Listings'!G106&gt;='Inputs and Outputs'!$D$37,1,0)</f>
        <v>1</v>
      </c>
      <c r="L106">
        <f>IF('Apartment Listings'!H106='Inputs and Outputs'!$D$38,1,0)</f>
        <v>1</v>
      </c>
      <c r="M106">
        <f>IF('Apartment Listings'!I106='Inputs and Outputs'!$D$39,1,0)</f>
        <v>1</v>
      </c>
      <c r="N106">
        <f>IF('Apartment Listings'!J106='Inputs and Outputs'!$D$40,1,0)</f>
        <v>1</v>
      </c>
      <c r="O106">
        <f>IF('Apartment Listings'!K106='Inputs and Outputs'!$D$41,1,0)</f>
        <v>1</v>
      </c>
      <c r="P106">
        <f>IF('Apartment Listings'!L106='Inputs and Outputs'!$D$42,1,0)</f>
        <v>1</v>
      </c>
      <c r="Q106">
        <f>IF('Apartment Listings'!M106='Inputs and Outputs'!$D$43,1,0)</f>
        <v>1</v>
      </c>
      <c r="R106">
        <f t="shared" si="32"/>
        <v>0</v>
      </c>
      <c r="T106" s="38">
        <f t="shared" si="33"/>
        <v>11</v>
      </c>
      <c r="U106" s="44">
        <f t="shared" si="34"/>
        <v>4</v>
      </c>
      <c r="W106" t="str">
        <f t="shared" si="36"/>
        <v>Clinton4</v>
      </c>
    </row>
    <row r="107" spans="1:23">
      <c r="A107" s="38">
        <f t="shared" si="37"/>
        <v>1</v>
      </c>
      <c r="B107" s="38" t="str">
        <f t="shared" si="35"/>
        <v>Fashion Square1</v>
      </c>
      <c r="C107" s="38">
        <f ca="1">IF(F107='Inputs and Outputs'!$H$11,1,IF(F107='Inputs and Outputs'!$H$17,2,IF(F107='Inputs and Outputs'!$H$23,3,0)))</f>
        <v>0</v>
      </c>
      <c r="D107" s="38" t="b">
        <f t="shared" ca="1" si="31"/>
        <v>0</v>
      </c>
      <c r="E107">
        <f>'Apartment Listings'!B107</f>
        <v>104</v>
      </c>
      <c r="F107" s="33" t="str">
        <f>'Apartment Listings'!C107</f>
        <v>Fashion Square</v>
      </c>
      <c r="G107" s="33">
        <f>VLOOKUP(E107,'Apartment Listings'!B107:N256,13,0)</f>
        <v>38897</v>
      </c>
      <c r="H107" t="str">
        <f>IF(AND('Apartment Listings'!D107&gt;'Financial Worksheet'!$H$5,'Apartment Listings'!D107&lt;'Financial Worksheet'!$H$4),"Y","N")</f>
        <v>Y</v>
      </c>
      <c r="I107">
        <f>IF('Inputs and Outputs'!$I$8='Apartment Listings'!D107,'Apartment Scores'!$I$1,0)</f>
        <v>0</v>
      </c>
      <c r="J107">
        <f>IF('Apartment Listings'!F107&gt;='Inputs and Outputs'!$D$36,1,0)</f>
        <v>0</v>
      </c>
      <c r="K107">
        <f>IF('Apartment Listings'!G107&gt;='Inputs and Outputs'!$D$37,1,0)</f>
        <v>1</v>
      </c>
      <c r="L107">
        <f>IF('Apartment Listings'!H107='Inputs and Outputs'!$D$38,1,0)</f>
        <v>0</v>
      </c>
      <c r="M107">
        <f>IF('Apartment Listings'!I107='Inputs and Outputs'!$D$39,1,0)</f>
        <v>0</v>
      </c>
      <c r="N107">
        <f>IF('Apartment Listings'!J107='Inputs and Outputs'!$D$40,1,0)</f>
        <v>0</v>
      </c>
      <c r="O107">
        <f>IF('Apartment Listings'!K107='Inputs and Outputs'!$D$41,1,0)</f>
        <v>0</v>
      </c>
      <c r="P107">
        <f>IF('Apartment Listings'!L107='Inputs and Outputs'!$D$42,1,0)</f>
        <v>0</v>
      </c>
      <c r="Q107">
        <f>IF('Apartment Listings'!M107='Inputs and Outputs'!$D$43,1,0)</f>
        <v>0</v>
      </c>
      <c r="R107">
        <f t="shared" si="32"/>
        <v>0</v>
      </c>
      <c r="T107" s="38">
        <f t="shared" si="33"/>
        <v>5</v>
      </c>
      <c r="U107" s="44">
        <f t="shared" si="34"/>
        <v>92</v>
      </c>
      <c r="W107" t="str">
        <f t="shared" si="36"/>
        <v>Fashion Square92</v>
      </c>
    </row>
    <row r="108" spans="1:23">
      <c r="A108" s="38">
        <f t="shared" si="37"/>
        <v>2</v>
      </c>
      <c r="B108" s="38" t="str">
        <f t="shared" si="35"/>
        <v>Fashion Square2</v>
      </c>
      <c r="C108" s="38">
        <f ca="1">IF(F108='Inputs and Outputs'!$H$11,1,IF(F108='Inputs and Outputs'!$H$17,2,IF(F108='Inputs and Outputs'!$H$23,3,0)))</f>
        <v>0</v>
      </c>
      <c r="D108" s="38" t="b">
        <f t="shared" ca="1" si="31"/>
        <v>0</v>
      </c>
      <c r="E108">
        <f>'Apartment Listings'!B108</f>
        <v>105</v>
      </c>
      <c r="F108" s="33" t="str">
        <f>'Apartment Listings'!C108</f>
        <v>Fashion Square</v>
      </c>
      <c r="G108" s="33">
        <f>VLOOKUP(E108,'Apartment Listings'!B108:N257,13,0)</f>
        <v>23027</v>
      </c>
      <c r="H108" t="str">
        <f>IF(AND('Apartment Listings'!D108&gt;'Financial Worksheet'!$H$5,'Apartment Listings'!D108&lt;'Financial Worksheet'!$H$4),"Y","N")</f>
        <v>N</v>
      </c>
      <c r="I108">
        <f>IF('Inputs and Outputs'!$I$8='Apartment Listings'!D108,'Apartment Scores'!$I$1,0)</f>
        <v>0</v>
      </c>
      <c r="J108">
        <f>IF('Apartment Listings'!F108&gt;='Inputs and Outputs'!$D$36,1,0)</f>
        <v>0</v>
      </c>
      <c r="K108">
        <f>IF('Apartment Listings'!G108&gt;='Inputs and Outputs'!$D$37,1,0)</f>
        <v>1</v>
      </c>
      <c r="L108">
        <f>IF('Apartment Listings'!H108='Inputs and Outputs'!$D$38,1,0)</f>
        <v>1</v>
      </c>
      <c r="M108">
        <f>IF('Apartment Listings'!I108='Inputs and Outputs'!$D$39,1,0)</f>
        <v>1</v>
      </c>
      <c r="N108">
        <f>IF('Apartment Listings'!J108='Inputs and Outputs'!$D$40,1,0)</f>
        <v>1</v>
      </c>
      <c r="O108">
        <f>IF('Apartment Listings'!K108='Inputs and Outputs'!$D$41,1,0)</f>
        <v>1</v>
      </c>
      <c r="P108">
        <f>IF('Apartment Listings'!L108='Inputs and Outputs'!$D$42,1,0)</f>
        <v>1</v>
      </c>
      <c r="Q108">
        <f>IF('Apartment Listings'!M108='Inputs and Outputs'!$D$43,1,0)</f>
        <v>1</v>
      </c>
      <c r="R108">
        <f t="shared" si="32"/>
        <v>0</v>
      </c>
      <c r="T108" s="38">
        <f t="shared" si="33"/>
        <v>4</v>
      </c>
      <c r="U108" s="44">
        <f t="shared" si="34"/>
        <v>99</v>
      </c>
      <c r="W108" t="str">
        <f t="shared" si="36"/>
        <v>Fashion Square99</v>
      </c>
    </row>
    <row r="109" spans="1:23">
      <c r="A109" s="38">
        <f t="shared" si="37"/>
        <v>1</v>
      </c>
      <c r="B109" s="38" t="str">
        <f t="shared" si="35"/>
        <v>Theatre District1</v>
      </c>
      <c r="C109" s="38">
        <f ca="1">IF(F109='Inputs and Outputs'!$H$11,1,IF(F109='Inputs and Outputs'!$H$17,2,IF(F109='Inputs and Outputs'!$H$23,3,0)))</f>
        <v>0</v>
      </c>
      <c r="D109" s="38" t="b">
        <f t="shared" ca="1" si="31"/>
        <v>0</v>
      </c>
      <c r="E109">
        <f>'Apartment Listings'!B109</f>
        <v>106</v>
      </c>
      <c r="F109" s="33" t="str">
        <f>'Apartment Listings'!C109</f>
        <v>Theatre District</v>
      </c>
      <c r="G109" s="33">
        <f>VLOOKUP(E109,'Apartment Listings'!B109:N258,13,0)</f>
        <v>88254</v>
      </c>
      <c r="H109" t="str">
        <f>IF(AND('Apartment Listings'!D109&gt;'Financial Worksheet'!$H$5,'Apartment Listings'!D109&lt;'Financial Worksheet'!$H$4),"Y","N")</f>
        <v>N</v>
      </c>
      <c r="I109">
        <f>IF('Inputs and Outputs'!$I$8='Apartment Listings'!D109,'Apartment Scores'!$I$1,0)</f>
        <v>0</v>
      </c>
      <c r="J109">
        <f>IF('Apartment Listings'!F109&gt;='Inputs and Outputs'!$D$36,1,0)</f>
        <v>1</v>
      </c>
      <c r="K109">
        <f>IF('Apartment Listings'!G109&gt;='Inputs and Outputs'!$D$37,1,0)</f>
        <v>1</v>
      </c>
      <c r="L109">
        <f>IF('Apartment Listings'!H109='Inputs and Outputs'!$D$38,1,0)</f>
        <v>0</v>
      </c>
      <c r="M109">
        <f>IF('Apartment Listings'!I109='Inputs and Outputs'!$D$39,1,0)</f>
        <v>1</v>
      </c>
      <c r="N109">
        <f>IF('Apartment Listings'!J109='Inputs and Outputs'!$D$40,1,0)</f>
        <v>1</v>
      </c>
      <c r="O109">
        <f>IF('Apartment Listings'!K109='Inputs and Outputs'!$D$41,1,0)</f>
        <v>0</v>
      </c>
      <c r="P109">
        <f>IF('Apartment Listings'!L109='Inputs and Outputs'!$D$42,1,0)</f>
        <v>0</v>
      </c>
      <c r="Q109">
        <f>IF('Apartment Listings'!M109='Inputs and Outputs'!$D$43,1,0)</f>
        <v>0</v>
      </c>
      <c r="R109">
        <f t="shared" si="32"/>
        <v>0</v>
      </c>
      <c r="T109" s="38">
        <f t="shared" si="33"/>
        <v>1</v>
      </c>
      <c r="U109" s="44">
        <f t="shared" si="34"/>
        <v>123</v>
      </c>
      <c r="W109" t="str">
        <f t="shared" si="36"/>
        <v>Theatre District123</v>
      </c>
    </row>
    <row r="110" spans="1:23">
      <c r="A110" s="38">
        <f t="shared" si="37"/>
        <v>2</v>
      </c>
      <c r="B110" s="38" t="str">
        <f t="shared" si="35"/>
        <v>Theatre District2</v>
      </c>
      <c r="C110" s="38">
        <f ca="1">IF(F110='Inputs and Outputs'!$H$11,1,IF(F110='Inputs and Outputs'!$H$17,2,IF(F110='Inputs and Outputs'!$H$23,3,0)))</f>
        <v>0</v>
      </c>
      <c r="D110" s="38" t="b">
        <f t="shared" ca="1" si="31"/>
        <v>0</v>
      </c>
      <c r="E110">
        <f>'Apartment Listings'!B110</f>
        <v>107</v>
      </c>
      <c r="F110" s="33" t="str">
        <f>'Apartment Listings'!C110</f>
        <v>Theatre District</v>
      </c>
      <c r="G110" s="33">
        <f>VLOOKUP(E110,'Apartment Listings'!B110:N259,13,0)</f>
        <v>55360</v>
      </c>
      <c r="H110" t="str">
        <f>IF(AND('Apartment Listings'!D110&gt;'Financial Worksheet'!$H$5,'Apartment Listings'!D110&lt;'Financial Worksheet'!$H$4),"Y","N")</f>
        <v>Y</v>
      </c>
      <c r="I110">
        <f>IF('Inputs and Outputs'!$I$8='Apartment Listings'!D110,'Apartment Scores'!$I$1,0)</f>
        <v>0</v>
      </c>
      <c r="J110">
        <f>IF('Apartment Listings'!F110&gt;='Inputs and Outputs'!$D$36,1,0)</f>
        <v>0</v>
      </c>
      <c r="K110">
        <f>IF('Apartment Listings'!G110&gt;='Inputs and Outputs'!$D$37,1,0)</f>
        <v>1</v>
      </c>
      <c r="L110">
        <f>IF('Apartment Listings'!H110='Inputs and Outputs'!$D$38,1,0)</f>
        <v>0</v>
      </c>
      <c r="M110">
        <f>IF('Apartment Listings'!I110='Inputs and Outputs'!$D$39,1,0)</f>
        <v>0</v>
      </c>
      <c r="N110">
        <f>IF('Apartment Listings'!J110='Inputs and Outputs'!$D$40,1,0)</f>
        <v>0</v>
      </c>
      <c r="O110">
        <f>IF('Apartment Listings'!K110='Inputs and Outputs'!$D$41,1,0)</f>
        <v>0</v>
      </c>
      <c r="P110">
        <f>IF('Apartment Listings'!L110='Inputs and Outputs'!$D$42,1,0)</f>
        <v>0</v>
      </c>
      <c r="Q110">
        <f>IF('Apartment Listings'!M110='Inputs and Outputs'!$D$43,1,0)</f>
        <v>0</v>
      </c>
      <c r="R110">
        <f t="shared" si="32"/>
        <v>0</v>
      </c>
      <c r="T110" s="38">
        <f t="shared" si="33"/>
        <v>5</v>
      </c>
      <c r="U110" s="44">
        <f t="shared" si="34"/>
        <v>92</v>
      </c>
      <c r="W110" t="str">
        <f t="shared" si="36"/>
        <v>Theatre District92</v>
      </c>
    </row>
    <row r="111" spans="1:23">
      <c r="A111" s="38">
        <f t="shared" si="37"/>
        <v>1</v>
      </c>
      <c r="B111" s="38" t="str">
        <f t="shared" si="35"/>
        <v>Carnegie Hill1</v>
      </c>
      <c r="C111" s="38">
        <f ca="1">IF(F111='Inputs and Outputs'!$H$11,1,IF(F111='Inputs and Outputs'!$H$17,2,IF(F111='Inputs and Outputs'!$H$23,3,0)))</f>
        <v>0</v>
      </c>
      <c r="D111" s="38" t="b">
        <f t="shared" ca="1" si="31"/>
        <v>0</v>
      </c>
      <c r="E111">
        <f>'Apartment Listings'!B111</f>
        <v>108</v>
      </c>
      <c r="F111" s="33" t="str">
        <f>'Apartment Listings'!C111</f>
        <v>Carnegie Hill</v>
      </c>
      <c r="G111" s="33">
        <f>VLOOKUP(E111,'Apartment Listings'!B111:N260,13,0)</f>
        <v>44548</v>
      </c>
      <c r="H111" t="str">
        <f>IF(AND('Apartment Listings'!D111&gt;'Financial Worksheet'!$H$5,'Apartment Listings'!D111&lt;'Financial Worksheet'!$H$4),"Y","N")</f>
        <v>Y</v>
      </c>
      <c r="I111">
        <f>IF('Inputs and Outputs'!$I$8='Apartment Listings'!D111,'Apartment Scores'!$I$1,0)</f>
        <v>0</v>
      </c>
      <c r="J111">
        <f>IF('Apartment Listings'!F111&gt;='Inputs and Outputs'!$D$36,1,0)</f>
        <v>0</v>
      </c>
      <c r="K111">
        <f>IF('Apartment Listings'!G111&gt;='Inputs and Outputs'!$D$37,1,0)</f>
        <v>1</v>
      </c>
      <c r="L111">
        <f>IF('Apartment Listings'!H111='Inputs and Outputs'!$D$38,1,0)</f>
        <v>1</v>
      </c>
      <c r="M111">
        <f>IF('Apartment Listings'!I111='Inputs and Outputs'!$D$39,1,0)</f>
        <v>1</v>
      </c>
      <c r="N111">
        <f>IF('Apartment Listings'!J111='Inputs and Outputs'!$D$40,1,0)</f>
        <v>1</v>
      </c>
      <c r="O111">
        <f>IF('Apartment Listings'!K111='Inputs and Outputs'!$D$41,1,0)</f>
        <v>1</v>
      </c>
      <c r="P111">
        <f>IF('Apartment Listings'!L111='Inputs and Outputs'!$D$42,1,0)</f>
        <v>1</v>
      </c>
      <c r="Q111">
        <f>IF('Apartment Listings'!M111='Inputs and Outputs'!$D$43,1,0)</f>
        <v>1</v>
      </c>
      <c r="R111">
        <f t="shared" si="32"/>
        <v>0</v>
      </c>
      <c r="T111" s="38">
        <f t="shared" si="33"/>
        <v>11</v>
      </c>
      <c r="U111" s="44">
        <f t="shared" si="34"/>
        <v>4</v>
      </c>
      <c r="W111" t="str">
        <f t="shared" si="36"/>
        <v>Carnegie Hill4</v>
      </c>
    </row>
    <row r="112" spans="1:23">
      <c r="A112" s="38">
        <f t="shared" si="37"/>
        <v>2</v>
      </c>
      <c r="B112" s="38" t="str">
        <f t="shared" si="35"/>
        <v>Carnegie Hill2</v>
      </c>
      <c r="C112" s="38">
        <f ca="1">IF(F112='Inputs and Outputs'!$H$11,1,IF(F112='Inputs and Outputs'!$H$17,2,IF(F112='Inputs and Outputs'!$H$23,3,0)))</f>
        <v>0</v>
      </c>
      <c r="D112" s="38" t="b">
        <f t="shared" ca="1" si="31"/>
        <v>0</v>
      </c>
      <c r="E112">
        <f>'Apartment Listings'!B112</f>
        <v>109</v>
      </c>
      <c r="F112" s="33" t="str">
        <f>'Apartment Listings'!C112</f>
        <v>Carnegie Hill</v>
      </c>
      <c r="G112" s="33">
        <f>VLOOKUP(E112,'Apartment Listings'!B112:N261,13,0)</f>
        <v>66345</v>
      </c>
      <c r="H112" t="str">
        <f>IF(AND('Apartment Listings'!D112&gt;'Financial Worksheet'!$H$5,'Apartment Listings'!D112&lt;'Financial Worksheet'!$H$4),"Y","N")</f>
        <v>Y</v>
      </c>
      <c r="I112">
        <f>IF('Inputs and Outputs'!$I$8='Apartment Listings'!D112,'Apartment Scores'!$I$1,0)</f>
        <v>0</v>
      </c>
      <c r="J112">
        <f>IF('Apartment Listings'!F112&gt;='Inputs and Outputs'!$D$36,1,0)</f>
        <v>0</v>
      </c>
      <c r="K112">
        <f>IF('Apartment Listings'!G112&gt;='Inputs and Outputs'!$D$37,1,0)</f>
        <v>1</v>
      </c>
      <c r="L112">
        <f>IF('Apartment Listings'!H112='Inputs and Outputs'!$D$38,1,0)</f>
        <v>0</v>
      </c>
      <c r="M112">
        <f>IF('Apartment Listings'!I112='Inputs and Outputs'!$D$39,1,0)</f>
        <v>1</v>
      </c>
      <c r="N112">
        <f>IF('Apartment Listings'!J112='Inputs and Outputs'!$D$40,1,0)</f>
        <v>1</v>
      </c>
      <c r="O112">
        <f>IF('Apartment Listings'!K112='Inputs and Outputs'!$D$41,1,0)</f>
        <v>0</v>
      </c>
      <c r="P112">
        <f>IF('Apartment Listings'!L112='Inputs and Outputs'!$D$42,1,0)</f>
        <v>1</v>
      </c>
      <c r="Q112">
        <f>IF('Apartment Listings'!M112='Inputs and Outputs'!$D$43,1,0)</f>
        <v>0</v>
      </c>
      <c r="R112">
        <f t="shared" si="32"/>
        <v>0</v>
      </c>
      <c r="T112" s="38">
        <f t="shared" si="33"/>
        <v>8</v>
      </c>
      <c r="U112" s="44">
        <f t="shared" si="34"/>
        <v>48</v>
      </c>
      <c r="W112" t="str">
        <f t="shared" si="36"/>
        <v>Carnegie Hill48</v>
      </c>
    </row>
    <row r="113" spans="1:23">
      <c r="A113" s="38">
        <f t="shared" si="37"/>
        <v>1</v>
      </c>
      <c r="B113" s="38" t="str">
        <f t="shared" si="35"/>
        <v>Lenox Hill1</v>
      </c>
      <c r="C113" s="38">
        <f ca="1">IF(F113='Inputs and Outputs'!$H$11,1,IF(F113='Inputs and Outputs'!$H$17,2,IF(F113='Inputs and Outputs'!$H$23,3,0)))</f>
        <v>0</v>
      </c>
      <c r="D113" s="38" t="b">
        <f t="shared" ca="1" si="31"/>
        <v>0</v>
      </c>
      <c r="E113">
        <f>'Apartment Listings'!B113</f>
        <v>110</v>
      </c>
      <c r="F113" s="33" t="str">
        <f>'Apartment Listings'!C113</f>
        <v>Lenox Hill</v>
      </c>
      <c r="G113" s="33">
        <f>VLOOKUP(E113,'Apartment Listings'!B113:N262,13,0)</f>
        <v>40812</v>
      </c>
      <c r="H113" t="str">
        <f>IF(AND('Apartment Listings'!D113&gt;'Financial Worksheet'!$H$5,'Apartment Listings'!D113&lt;'Financial Worksheet'!$H$4),"Y","N")</f>
        <v>N</v>
      </c>
      <c r="I113">
        <f>IF('Inputs and Outputs'!$I$8='Apartment Listings'!D113,'Apartment Scores'!$I$1,0)</f>
        <v>0</v>
      </c>
      <c r="J113">
        <f>IF('Apartment Listings'!F113&gt;='Inputs and Outputs'!$D$36,1,0)</f>
        <v>1</v>
      </c>
      <c r="K113">
        <f>IF('Apartment Listings'!G113&gt;='Inputs and Outputs'!$D$37,1,0)</f>
        <v>1</v>
      </c>
      <c r="L113">
        <f>IF('Apartment Listings'!H113='Inputs and Outputs'!$D$38,1,0)</f>
        <v>1</v>
      </c>
      <c r="M113">
        <f>IF('Apartment Listings'!I113='Inputs and Outputs'!$D$39,1,0)</f>
        <v>1</v>
      </c>
      <c r="N113">
        <f>IF('Apartment Listings'!J113='Inputs and Outputs'!$D$40,1,0)</f>
        <v>1</v>
      </c>
      <c r="O113">
        <f>IF('Apartment Listings'!K113='Inputs and Outputs'!$D$41,1,0)</f>
        <v>1</v>
      </c>
      <c r="P113">
        <f>IF('Apartment Listings'!L113='Inputs and Outputs'!$D$42,1,0)</f>
        <v>0</v>
      </c>
      <c r="Q113">
        <f>IF('Apartment Listings'!M113='Inputs and Outputs'!$D$43,1,0)</f>
        <v>0</v>
      </c>
      <c r="R113">
        <f t="shared" si="32"/>
        <v>0</v>
      </c>
      <c r="T113" s="38">
        <f t="shared" si="33"/>
        <v>3</v>
      </c>
      <c r="U113" s="44">
        <f t="shared" si="34"/>
        <v>107</v>
      </c>
      <c r="W113" t="str">
        <f t="shared" si="36"/>
        <v>Lenox Hill107</v>
      </c>
    </row>
    <row r="114" spans="1:23">
      <c r="A114" s="38">
        <f t="shared" si="37"/>
        <v>2</v>
      </c>
      <c r="B114" s="38" t="str">
        <f t="shared" si="35"/>
        <v>Lenox Hill2</v>
      </c>
      <c r="C114" s="38">
        <f ca="1">IF(F114='Inputs and Outputs'!$H$11,1,IF(F114='Inputs and Outputs'!$H$17,2,IF(F114='Inputs and Outputs'!$H$23,3,0)))</f>
        <v>0</v>
      </c>
      <c r="D114" s="38" t="b">
        <f t="shared" ca="1" si="31"/>
        <v>0</v>
      </c>
      <c r="E114">
        <f>'Apartment Listings'!B114</f>
        <v>111</v>
      </c>
      <c r="F114" s="33" t="str">
        <f>'Apartment Listings'!C114</f>
        <v>Lenox Hill</v>
      </c>
      <c r="G114" s="33">
        <f>VLOOKUP(E114,'Apartment Listings'!B114:N263,13,0)</f>
        <v>45025</v>
      </c>
      <c r="H114" t="str">
        <f>IF(AND('Apartment Listings'!D114&gt;'Financial Worksheet'!$H$5,'Apartment Listings'!D114&lt;'Financial Worksheet'!$H$4),"Y","N")</f>
        <v>Y</v>
      </c>
      <c r="I114">
        <f>IF('Inputs and Outputs'!$I$8='Apartment Listings'!D114,'Apartment Scores'!$I$1,0)</f>
        <v>0</v>
      </c>
      <c r="J114">
        <f>IF('Apartment Listings'!F114&gt;='Inputs and Outputs'!$D$36,1,0)</f>
        <v>0</v>
      </c>
      <c r="K114">
        <f>IF('Apartment Listings'!G114&gt;='Inputs and Outputs'!$D$37,1,0)</f>
        <v>1</v>
      </c>
      <c r="L114">
        <f>IF('Apartment Listings'!H114='Inputs and Outputs'!$D$38,1,0)</f>
        <v>0</v>
      </c>
      <c r="M114">
        <f>IF('Apartment Listings'!I114='Inputs and Outputs'!$D$39,1,0)</f>
        <v>1</v>
      </c>
      <c r="N114">
        <f>IF('Apartment Listings'!J114='Inputs and Outputs'!$D$40,1,0)</f>
        <v>0</v>
      </c>
      <c r="O114">
        <f>IF('Apartment Listings'!K114='Inputs and Outputs'!$D$41,1,0)</f>
        <v>0</v>
      </c>
      <c r="P114">
        <f>IF('Apartment Listings'!L114='Inputs and Outputs'!$D$42,1,0)</f>
        <v>1</v>
      </c>
      <c r="Q114">
        <f>IF('Apartment Listings'!M114='Inputs and Outputs'!$D$43,1,0)</f>
        <v>0</v>
      </c>
      <c r="R114">
        <f t="shared" si="32"/>
        <v>0</v>
      </c>
      <c r="T114" s="38">
        <f t="shared" si="33"/>
        <v>7</v>
      </c>
      <c r="U114" s="44">
        <f t="shared" si="34"/>
        <v>61</v>
      </c>
      <c r="W114" t="str">
        <f t="shared" si="36"/>
        <v>Lenox Hill61</v>
      </c>
    </row>
    <row r="115" spans="1:23">
      <c r="A115" s="38">
        <f t="shared" si="37"/>
        <v>3</v>
      </c>
      <c r="B115" s="38" t="str">
        <f t="shared" si="35"/>
        <v>Lenox Hill3</v>
      </c>
      <c r="C115" s="38">
        <f ca="1">IF(F115='Inputs and Outputs'!$H$11,1,IF(F115='Inputs and Outputs'!$H$17,2,IF(F115='Inputs and Outputs'!$H$23,3,0)))</f>
        <v>0</v>
      </c>
      <c r="D115" s="38" t="b">
        <f t="shared" ca="1" si="31"/>
        <v>0</v>
      </c>
      <c r="E115">
        <f>'Apartment Listings'!B115</f>
        <v>112</v>
      </c>
      <c r="F115" s="33" t="str">
        <f>'Apartment Listings'!C115</f>
        <v>Lenox Hill</v>
      </c>
      <c r="G115" s="33">
        <f>VLOOKUP(E115,'Apartment Listings'!B115:N264,13,0)</f>
        <v>27244</v>
      </c>
      <c r="H115" t="str">
        <f>IF(AND('Apartment Listings'!D115&gt;'Financial Worksheet'!$H$5,'Apartment Listings'!D115&lt;'Financial Worksheet'!$H$4),"Y","N")</f>
        <v>Y</v>
      </c>
      <c r="I115">
        <f>IF('Inputs and Outputs'!$I$8='Apartment Listings'!D115,'Apartment Scores'!$I$1,0)</f>
        <v>0</v>
      </c>
      <c r="J115">
        <f>IF('Apartment Listings'!F115&gt;='Inputs and Outputs'!$D$36,1,0)</f>
        <v>0</v>
      </c>
      <c r="K115">
        <f>IF('Apartment Listings'!G115&gt;='Inputs and Outputs'!$D$37,1,0)</f>
        <v>1</v>
      </c>
      <c r="L115">
        <f>IF('Apartment Listings'!H115='Inputs and Outputs'!$D$38,1,0)</f>
        <v>1</v>
      </c>
      <c r="M115">
        <f>IF('Apartment Listings'!I115='Inputs and Outputs'!$D$39,1,0)</f>
        <v>1</v>
      </c>
      <c r="N115">
        <f>IF('Apartment Listings'!J115='Inputs and Outputs'!$D$40,1,0)</f>
        <v>1</v>
      </c>
      <c r="O115">
        <f>IF('Apartment Listings'!K115='Inputs and Outputs'!$D$41,1,0)</f>
        <v>1</v>
      </c>
      <c r="P115">
        <f>IF('Apartment Listings'!L115='Inputs and Outputs'!$D$42,1,0)</f>
        <v>1</v>
      </c>
      <c r="Q115">
        <f>IF('Apartment Listings'!M115='Inputs and Outputs'!$D$43,1,0)</f>
        <v>0</v>
      </c>
      <c r="R115">
        <f t="shared" si="32"/>
        <v>0</v>
      </c>
      <c r="T115" s="38">
        <f t="shared" si="33"/>
        <v>10</v>
      </c>
      <c r="U115" s="44">
        <f t="shared" si="34"/>
        <v>11</v>
      </c>
      <c r="W115" t="str">
        <f t="shared" si="36"/>
        <v>Lenox Hill11</v>
      </c>
    </row>
    <row r="116" spans="1:23">
      <c r="A116" s="38">
        <f t="shared" si="37"/>
        <v>1</v>
      </c>
      <c r="B116" s="38" t="str">
        <f t="shared" si="35"/>
        <v>Upper East Side1</v>
      </c>
      <c r="C116" s="38">
        <f ca="1">IF(F116='Inputs and Outputs'!$H$11,1,IF(F116='Inputs and Outputs'!$H$17,2,IF(F116='Inputs and Outputs'!$H$23,3,0)))</f>
        <v>0</v>
      </c>
      <c r="D116" s="38" t="b">
        <f t="shared" ca="1" si="31"/>
        <v>0</v>
      </c>
      <c r="E116">
        <f>'Apartment Listings'!B116</f>
        <v>113</v>
      </c>
      <c r="F116" s="33" t="str">
        <f>'Apartment Listings'!C116</f>
        <v>Upper East Side</v>
      </c>
      <c r="G116" s="33">
        <f>VLOOKUP(E116,'Apartment Listings'!B116:N265,13,0)</f>
        <v>62877</v>
      </c>
      <c r="H116" t="str">
        <f>IF(AND('Apartment Listings'!D116&gt;'Financial Worksheet'!$H$5,'Apartment Listings'!D116&lt;'Financial Worksheet'!$H$4),"Y","N")</f>
        <v>Y</v>
      </c>
      <c r="I116">
        <f>IF('Inputs and Outputs'!$I$8='Apartment Listings'!D116,'Apartment Scores'!$I$1,0)</f>
        <v>0</v>
      </c>
      <c r="J116">
        <f>IF('Apartment Listings'!F116&gt;='Inputs and Outputs'!$D$36,1,0)</f>
        <v>0</v>
      </c>
      <c r="K116">
        <f>IF('Apartment Listings'!G116&gt;='Inputs and Outputs'!$D$37,1,0)</f>
        <v>1</v>
      </c>
      <c r="L116">
        <f>IF('Apartment Listings'!H116='Inputs and Outputs'!$D$38,1,0)</f>
        <v>0</v>
      </c>
      <c r="M116">
        <f>IF('Apartment Listings'!I116='Inputs and Outputs'!$D$39,1,0)</f>
        <v>1</v>
      </c>
      <c r="N116">
        <f>IF('Apartment Listings'!J116='Inputs and Outputs'!$D$40,1,0)</f>
        <v>1</v>
      </c>
      <c r="O116">
        <f>IF('Apartment Listings'!K116='Inputs and Outputs'!$D$41,1,0)</f>
        <v>0</v>
      </c>
      <c r="P116">
        <f>IF('Apartment Listings'!L116='Inputs and Outputs'!$D$42,1,0)</f>
        <v>1</v>
      </c>
      <c r="Q116">
        <f>IF('Apartment Listings'!M116='Inputs and Outputs'!$D$43,1,0)</f>
        <v>0</v>
      </c>
      <c r="R116">
        <f t="shared" si="32"/>
        <v>0</v>
      </c>
      <c r="T116" s="38">
        <f t="shared" si="33"/>
        <v>8</v>
      </c>
      <c r="U116" s="44">
        <f t="shared" si="34"/>
        <v>48</v>
      </c>
      <c r="W116" t="str">
        <f t="shared" si="36"/>
        <v>Upper East Side48</v>
      </c>
    </row>
    <row r="117" spans="1:23">
      <c r="A117" s="38">
        <f t="shared" si="37"/>
        <v>2</v>
      </c>
      <c r="B117" s="38" t="str">
        <f t="shared" si="35"/>
        <v>Upper East Side2</v>
      </c>
      <c r="C117" s="38">
        <f ca="1">IF(F117='Inputs and Outputs'!$H$11,1,IF(F117='Inputs and Outputs'!$H$17,2,IF(F117='Inputs and Outputs'!$H$23,3,0)))</f>
        <v>0</v>
      </c>
      <c r="D117" s="38" t="b">
        <f t="shared" ca="1" si="31"/>
        <v>0</v>
      </c>
      <c r="E117">
        <f>'Apartment Listings'!B117</f>
        <v>114</v>
      </c>
      <c r="F117" s="33" t="str">
        <f>'Apartment Listings'!C117</f>
        <v>Upper East Side</v>
      </c>
      <c r="G117" s="33">
        <f>VLOOKUP(E117,'Apartment Listings'!B117:N266,13,0)</f>
        <v>50657</v>
      </c>
      <c r="H117" t="str">
        <f>IF(AND('Apartment Listings'!D117&gt;'Financial Worksheet'!$H$5,'Apartment Listings'!D117&lt;'Financial Worksheet'!$H$4),"Y","N")</f>
        <v>N</v>
      </c>
      <c r="I117">
        <f>IF('Inputs and Outputs'!$I$8='Apartment Listings'!D117,'Apartment Scores'!$I$1,0)</f>
        <v>0</v>
      </c>
      <c r="J117">
        <f>IF('Apartment Listings'!F117&gt;='Inputs and Outputs'!$D$36,1,0)</f>
        <v>0</v>
      </c>
      <c r="K117">
        <f>IF('Apartment Listings'!G117&gt;='Inputs and Outputs'!$D$37,1,0)</f>
        <v>1</v>
      </c>
      <c r="L117">
        <f>IF('Apartment Listings'!H117='Inputs and Outputs'!$D$38,1,0)</f>
        <v>0</v>
      </c>
      <c r="M117">
        <f>IF('Apartment Listings'!I117='Inputs and Outputs'!$D$39,1,0)</f>
        <v>0</v>
      </c>
      <c r="N117">
        <f>IF('Apartment Listings'!J117='Inputs and Outputs'!$D$40,1,0)</f>
        <v>1</v>
      </c>
      <c r="O117">
        <f>IF('Apartment Listings'!K117='Inputs and Outputs'!$D$41,1,0)</f>
        <v>1</v>
      </c>
      <c r="P117">
        <f>IF('Apartment Listings'!L117='Inputs and Outputs'!$D$42,1,0)</f>
        <v>1</v>
      </c>
      <c r="Q117">
        <f>IF('Apartment Listings'!M117='Inputs and Outputs'!$D$43,1,0)</f>
        <v>0</v>
      </c>
      <c r="R117">
        <f t="shared" si="32"/>
        <v>0</v>
      </c>
      <c r="T117" s="38">
        <f t="shared" si="33"/>
        <v>1</v>
      </c>
      <c r="U117" s="44">
        <f t="shared" si="34"/>
        <v>123</v>
      </c>
      <c r="W117" t="str">
        <f t="shared" si="36"/>
        <v>Upper East Side123</v>
      </c>
    </row>
    <row r="118" spans="1:23">
      <c r="A118" s="38">
        <f t="shared" si="37"/>
        <v>3</v>
      </c>
      <c r="B118" s="38" t="str">
        <f t="shared" si="35"/>
        <v>Upper East Side3</v>
      </c>
      <c r="C118" s="38">
        <f ca="1">IF(F118='Inputs and Outputs'!$H$11,1,IF(F118='Inputs and Outputs'!$H$17,2,IF(F118='Inputs and Outputs'!$H$23,3,0)))</f>
        <v>0</v>
      </c>
      <c r="D118" s="38" t="b">
        <f t="shared" ca="1" si="31"/>
        <v>0</v>
      </c>
      <c r="E118">
        <f>'Apartment Listings'!B118</f>
        <v>115</v>
      </c>
      <c r="F118" s="33" t="str">
        <f>'Apartment Listings'!C118</f>
        <v>Upper East Side</v>
      </c>
      <c r="G118" s="33">
        <f>VLOOKUP(E118,'Apartment Listings'!B118:N267,13,0)</f>
        <v>98300</v>
      </c>
      <c r="H118" t="str">
        <f>IF(AND('Apartment Listings'!D118&gt;'Financial Worksheet'!$H$5,'Apartment Listings'!D118&lt;'Financial Worksheet'!$H$4),"Y","N")</f>
        <v>Y</v>
      </c>
      <c r="I118">
        <f>IF('Inputs and Outputs'!$I$8='Apartment Listings'!D118,'Apartment Scores'!$I$1,0)</f>
        <v>0</v>
      </c>
      <c r="J118">
        <f>IF('Apartment Listings'!F118&gt;='Inputs and Outputs'!$D$36,1,0)</f>
        <v>0</v>
      </c>
      <c r="K118">
        <f>IF('Apartment Listings'!G118&gt;='Inputs and Outputs'!$D$37,1,0)</f>
        <v>1</v>
      </c>
      <c r="L118">
        <f>IF('Apartment Listings'!H118='Inputs and Outputs'!$D$38,1,0)</f>
        <v>1</v>
      </c>
      <c r="M118">
        <f>IF('Apartment Listings'!I118='Inputs and Outputs'!$D$39,1,0)</f>
        <v>0</v>
      </c>
      <c r="N118">
        <f>IF('Apartment Listings'!J118='Inputs and Outputs'!$D$40,1,0)</f>
        <v>1</v>
      </c>
      <c r="O118">
        <f>IF('Apartment Listings'!K118='Inputs and Outputs'!$D$41,1,0)</f>
        <v>0</v>
      </c>
      <c r="P118">
        <f>IF('Apartment Listings'!L118='Inputs and Outputs'!$D$42,1,0)</f>
        <v>1</v>
      </c>
      <c r="Q118">
        <f>IF('Apartment Listings'!M118='Inputs and Outputs'!$D$43,1,0)</f>
        <v>0</v>
      </c>
      <c r="R118">
        <f t="shared" si="32"/>
        <v>0</v>
      </c>
      <c r="T118" s="38">
        <f t="shared" si="33"/>
        <v>8</v>
      </c>
      <c r="U118" s="44">
        <f t="shared" si="34"/>
        <v>48</v>
      </c>
      <c r="W118" t="str">
        <f t="shared" si="36"/>
        <v>Upper East Side48</v>
      </c>
    </row>
    <row r="119" spans="1:23">
      <c r="A119" s="38">
        <f t="shared" si="37"/>
        <v>4</v>
      </c>
      <c r="B119" s="38" t="str">
        <f t="shared" si="35"/>
        <v>Upper East Side4</v>
      </c>
      <c r="C119" s="38">
        <f ca="1">IF(F119='Inputs and Outputs'!$H$11,1,IF(F119='Inputs and Outputs'!$H$17,2,IF(F119='Inputs and Outputs'!$H$23,3,0)))</f>
        <v>0</v>
      </c>
      <c r="D119" s="38" t="b">
        <f t="shared" ca="1" si="31"/>
        <v>0</v>
      </c>
      <c r="E119">
        <f>'Apartment Listings'!B119</f>
        <v>116</v>
      </c>
      <c r="F119" s="33" t="str">
        <f>'Apartment Listings'!C119</f>
        <v>Upper East Side</v>
      </c>
      <c r="G119" s="33">
        <f>VLOOKUP(E119,'Apartment Listings'!B119:N268,13,0)</f>
        <v>12958</v>
      </c>
      <c r="H119" t="str">
        <f>IF(AND('Apartment Listings'!D119&gt;'Financial Worksheet'!$H$5,'Apartment Listings'!D119&lt;'Financial Worksheet'!$H$4),"Y","N")</f>
        <v>Y</v>
      </c>
      <c r="I119">
        <f>IF('Inputs and Outputs'!$I$8='Apartment Listings'!D119,'Apartment Scores'!$I$1,0)</f>
        <v>0</v>
      </c>
      <c r="J119">
        <f>IF('Apartment Listings'!F119&gt;='Inputs and Outputs'!$D$36,1,0)</f>
        <v>1</v>
      </c>
      <c r="K119">
        <f>IF('Apartment Listings'!G119&gt;='Inputs and Outputs'!$D$37,1,0)</f>
        <v>1</v>
      </c>
      <c r="L119">
        <f>IF('Apartment Listings'!H119='Inputs and Outputs'!$D$38,1,0)</f>
        <v>1</v>
      </c>
      <c r="M119">
        <f>IF('Apartment Listings'!I119='Inputs and Outputs'!$D$39,1,0)</f>
        <v>1</v>
      </c>
      <c r="N119">
        <f>IF('Apartment Listings'!J119='Inputs and Outputs'!$D$40,1,0)</f>
        <v>1</v>
      </c>
      <c r="O119">
        <f>IF('Apartment Listings'!K119='Inputs and Outputs'!$D$41,1,0)</f>
        <v>1</v>
      </c>
      <c r="P119">
        <f>IF('Apartment Listings'!L119='Inputs and Outputs'!$D$42,1,0)</f>
        <v>1</v>
      </c>
      <c r="Q119">
        <f>IF('Apartment Listings'!M119='Inputs and Outputs'!$D$43,1,0)</f>
        <v>1</v>
      </c>
      <c r="R119">
        <f t="shared" si="32"/>
        <v>2</v>
      </c>
      <c r="T119" s="38">
        <f t="shared" si="33"/>
        <v>14</v>
      </c>
      <c r="U119" s="44">
        <f t="shared" si="34"/>
        <v>1</v>
      </c>
      <c r="W119" t="str">
        <f t="shared" si="36"/>
        <v>Upper East Side1</v>
      </c>
    </row>
    <row r="120" spans="1:23">
      <c r="A120" s="38">
        <f t="shared" si="37"/>
        <v>5</v>
      </c>
      <c r="B120" s="38" t="str">
        <f t="shared" si="35"/>
        <v>Upper East Side5</v>
      </c>
      <c r="C120" s="38">
        <f ca="1">IF(F120='Inputs and Outputs'!$H$11,1,IF(F120='Inputs and Outputs'!$H$17,2,IF(F120='Inputs and Outputs'!$H$23,3,0)))</f>
        <v>0</v>
      </c>
      <c r="D120" s="38" t="b">
        <f t="shared" ca="1" si="31"/>
        <v>0</v>
      </c>
      <c r="E120">
        <f>'Apartment Listings'!B120</f>
        <v>117</v>
      </c>
      <c r="F120" s="33" t="str">
        <f>'Apartment Listings'!C120</f>
        <v>Upper East Side</v>
      </c>
      <c r="G120" s="33">
        <f>VLOOKUP(E120,'Apartment Listings'!B120:N269,13,0)</f>
        <v>63412</v>
      </c>
      <c r="H120" t="str">
        <f>IF(AND('Apartment Listings'!D120&gt;'Financial Worksheet'!$H$5,'Apartment Listings'!D120&lt;'Financial Worksheet'!$H$4),"Y","N")</f>
        <v>Y</v>
      </c>
      <c r="I120">
        <f>IF('Inputs and Outputs'!$I$8='Apartment Listings'!D120,'Apartment Scores'!$I$1,0)</f>
        <v>0</v>
      </c>
      <c r="J120">
        <f>IF('Apartment Listings'!F120&gt;='Inputs and Outputs'!$D$36,1,0)</f>
        <v>1</v>
      </c>
      <c r="K120">
        <f>IF('Apartment Listings'!G120&gt;='Inputs and Outputs'!$D$37,1,0)</f>
        <v>1</v>
      </c>
      <c r="L120">
        <f>IF('Apartment Listings'!H120='Inputs and Outputs'!$D$38,1,0)</f>
        <v>0</v>
      </c>
      <c r="M120">
        <f>IF('Apartment Listings'!I120='Inputs and Outputs'!$D$39,1,0)</f>
        <v>1</v>
      </c>
      <c r="N120">
        <f>IF('Apartment Listings'!J120='Inputs and Outputs'!$D$40,1,0)</f>
        <v>0</v>
      </c>
      <c r="O120">
        <f>IF('Apartment Listings'!K120='Inputs and Outputs'!$D$41,1,0)</f>
        <v>0</v>
      </c>
      <c r="P120">
        <f>IF('Apartment Listings'!L120='Inputs and Outputs'!$D$42,1,0)</f>
        <v>1</v>
      </c>
      <c r="Q120">
        <f>IF('Apartment Listings'!M120='Inputs and Outputs'!$D$43,1,0)</f>
        <v>0</v>
      </c>
      <c r="R120">
        <f t="shared" si="32"/>
        <v>0</v>
      </c>
      <c r="T120" s="38">
        <f t="shared" si="33"/>
        <v>8</v>
      </c>
      <c r="U120" s="44">
        <f t="shared" si="34"/>
        <v>48</v>
      </c>
      <c r="W120" t="str">
        <f t="shared" si="36"/>
        <v>Upper East Side48</v>
      </c>
    </row>
    <row r="121" spans="1:23">
      <c r="A121" s="38">
        <f t="shared" si="37"/>
        <v>6</v>
      </c>
      <c r="B121" s="38" t="str">
        <f t="shared" si="35"/>
        <v>Upper East Side6</v>
      </c>
      <c r="C121" s="38">
        <f ca="1">IF(F121='Inputs and Outputs'!$H$11,1,IF(F121='Inputs and Outputs'!$H$17,2,IF(F121='Inputs and Outputs'!$H$23,3,0)))</f>
        <v>0</v>
      </c>
      <c r="D121" s="38" t="b">
        <f t="shared" ca="1" si="31"/>
        <v>0</v>
      </c>
      <c r="E121">
        <f>'Apartment Listings'!B121</f>
        <v>118</v>
      </c>
      <c r="F121" s="33" t="str">
        <f>'Apartment Listings'!C121</f>
        <v>Upper East Side</v>
      </c>
      <c r="G121" s="33">
        <f>VLOOKUP(E121,'Apartment Listings'!B121:N270,13,0)</f>
        <v>12663</v>
      </c>
      <c r="H121" t="str">
        <f>IF(AND('Apartment Listings'!D121&gt;'Financial Worksheet'!$H$5,'Apartment Listings'!D121&lt;'Financial Worksheet'!$H$4),"Y","N")</f>
        <v>Y</v>
      </c>
      <c r="I121">
        <f>IF('Inputs and Outputs'!$I$8='Apartment Listings'!D121,'Apartment Scores'!$I$1,0)</f>
        <v>0</v>
      </c>
      <c r="J121">
        <f>IF('Apartment Listings'!F121&gt;='Inputs and Outputs'!$D$36,1,0)</f>
        <v>0</v>
      </c>
      <c r="K121">
        <f>IF('Apartment Listings'!G121&gt;='Inputs and Outputs'!$D$37,1,0)</f>
        <v>1</v>
      </c>
      <c r="L121">
        <f>IF('Apartment Listings'!H121='Inputs and Outputs'!$D$38,1,0)</f>
        <v>1</v>
      </c>
      <c r="M121">
        <f>IF('Apartment Listings'!I121='Inputs and Outputs'!$D$39,1,0)</f>
        <v>1</v>
      </c>
      <c r="N121">
        <f>IF('Apartment Listings'!J121='Inputs and Outputs'!$D$40,1,0)</f>
        <v>1</v>
      </c>
      <c r="O121">
        <f>IF('Apartment Listings'!K121='Inputs and Outputs'!$D$41,1,0)</f>
        <v>1</v>
      </c>
      <c r="P121">
        <f>IF('Apartment Listings'!L121='Inputs and Outputs'!$D$42,1,0)</f>
        <v>1</v>
      </c>
      <c r="Q121">
        <f>IF('Apartment Listings'!M121='Inputs and Outputs'!$D$43,1,0)</f>
        <v>1</v>
      </c>
      <c r="R121">
        <f t="shared" si="32"/>
        <v>0</v>
      </c>
      <c r="T121" s="38">
        <f t="shared" si="33"/>
        <v>11</v>
      </c>
      <c r="U121" s="44">
        <f t="shared" si="34"/>
        <v>4</v>
      </c>
      <c r="W121" t="str">
        <f t="shared" si="36"/>
        <v>Upper East Side4</v>
      </c>
    </row>
    <row r="122" spans="1:23">
      <c r="A122" s="38">
        <f t="shared" si="37"/>
        <v>7</v>
      </c>
      <c r="B122" s="38" t="str">
        <f t="shared" si="35"/>
        <v>Upper East Side7</v>
      </c>
      <c r="C122" s="38">
        <f ca="1">IF(F122='Inputs and Outputs'!$H$11,1,IF(F122='Inputs and Outputs'!$H$17,2,IF(F122='Inputs and Outputs'!$H$23,3,0)))</f>
        <v>0</v>
      </c>
      <c r="D122" s="38" t="b">
        <f t="shared" ca="1" si="31"/>
        <v>0</v>
      </c>
      <c r="E122">
        <f>'Apartment Listings'!B122</f>
        <v>119</v>
      </c>
      <c r="F122" s="33" t="str">
        <f>'Apartment Listings'!C122</f>
        <v>Upper East Side</v>
      </c>
      <c r="G122" s="33">
        <f>VLOOKUP(E122,'Apartment Listings'!B122:N271,13,0)</f>
        <v>82218</v>
      </c>
      <c r="H122" t="str">
        <f>IF(AND('Apartment Listings'!D122&gt;'Financial Worksheet'!$H$5,'Apartment Listings'!D122&lt;'Financial Worksheet'!$H$4),"Y","N")</f>
        <v>Y</v>
      </c>
      <c r="I122">
        <f>IF('Inputs and Outputs'!$I$8='Apartment Listings'!D122,'Apartment Scores'!$I$1,0)</f>
        <v>0</v>
      </c>
      <c r="J122">
        <f>IF('Apartment Listings'!F122&gt;='Inputs and Outputs'!$D$36,1,0)</f>
        <v>0</v>
      </c>
      <c r="K122">
        <f>IF('Apartment Listings'!G122&gt;='Inputs and Outputs'!$D$37,1,0)</f>
        <v>1</v>
      </c>
      <c r="L122">
        <f>IF('Apartment Listings'!H122='Inputs and Outputs'!$D$38,1,0)</f>
        <v>0</v>
      </c>
      <c r="M122">
        <f>IF('Apartment Listings'!I122='Inputs and Outputs'!$D$39,1,0)</f>
        <v>1</v>
      </c>
      <c r="N122">
        <f>IF('Apartment Listings'!J122='Inputs and Outputs'!$D$40,1,0)</f>
        <v>1</v>
      </c>
      <c r="O122">
        <f>IF('Apartment Listings'!K122='Inputs and Outputs'!$D$41,1,0)</f>
        <v>1</v>
      </c>
      <c r="P122">
        <f>IF('Apartment Listings'!L122='Inputs and Outputs'!$D$42,1,0)</f>
        <v>1</v>
      </c>
      <c r="Q122">
        <f>IF('Apartment Listings'!M122='Inputs and Outputs'!$D$43,1,0)</f>
        <v>0</v>
      </c>
      <c r="R122">
        <f t="shared" si="32"/>
        <v>0</v>
      </c>
      <c r="T122" s="38">
        <f t="shared" si="33"/>
        <v>9</v>
      </c>
      <c r="U122" s="44">
        <f t="shared" si="34"/>
        <v>27</v>
      </c>
      <c r="W122" t="str">
        <f t="shared" si="36"/>
        <v>Upper East Side27</v>
      </c>
    </row>
    <row r="123" spans="1:23">
      <c r="A123" s="38">
        <f t="shared" si="37"/>
        <v>1</v>
      </c>
      <c r="B123" s="38" t="str">
        <f t="shared" si="35"/>
        <v>Yorkville1</v>
      </c>
      <c r="C123" s="38">
        <f ca="1">IF(F123='Inputs and Outputs'!$H$11,1,IF(F123='Inputs and Outputs'!$H$17,2,IF(F123='Inputs and Outputs'!$H$23,3,0)))</f>
        <v>0</v>
      </c>
      <c r="D123" s="38" t="b">
        <f t="shared" ca="1" si="31"/>
        <v>0</v>
      </c>
      <c r="E123">
        <f>'Apartment Listings'!B123</f>
        <v>120</v>
      </c>
      <c r="F123" s="33" t="str">
        <f>'Apartment Listings'!C123</f>
        <v>Yorkville</v>
      </c>
      <c r="G123" s="33">
        <f>VLOOKUP(E123,'Apartment Listings'!B123:N272,13,0)</f>
        <v>27451</v>
      </c>
      <c r="H123" t="str">
        <f>IF(AND('Apartment Listings'!D123&gt;'Financial Worksheet'!$H$5,'Apartment Listings'!D123&lt;'Financial Worksheet'!$H$4),"Y","N")</f>
        <v>Y</v>
      </c>
      <c r="I123">
        <f>IF('Inputs and Outputs'!$I$8='Apartment Listings'!D123,'Apartment Scores'!$I$1,0)</f>
        <v>0</v>
      </c>
      <c r="J123">
        <f>IF('Apartment Listings'!F123&gt;='Inputs and Outputs'!$D$36,1,0)</f>
        <v>0</v>
      </c>
      <c r="K123">
        <f>IF('Apartment Listings'!G123&gt;='Inputs and Outputs'!$D$37,1,0)</f>
        <v>1</v>
      </c>
      <c r="L123">
        <f>IF('Apartment Listings'!H123='Inputs and Outputs'!$D$38,1,0)</f>
        <v>0</v>
      </c>
      <c r="M123">
        <f>IF('Apartment Listings'!I123='Inputs and Outputs'!$D$39,1,0)</f>
        <v>1</v>
      </c>
      <c r="N123">
        <f>IF('Apartment Listings'!J123='Inputs and Outputs'!$D$40,1,0)</f>
        <v>1</v>
      </c>
      <c r="O123">
        <f>IF('Apartment Listings'!K123='Inputs and Outputs'!$D$41,1,0)</f>
        <v>0</v>
      </c>
      <c r="P123">
        <f>IF('Apartment Listings'!L123='Inputs and Outputs'!$D$42,1,0)</f>
        <v>1</v>
      </c>
      <c r="Q123">
        <f>IF('Apartment Listings'!M123='Inputs and Outputs'!$D$43,1,0)</f>
        <v>0</v>
      </c>
      <c r="R123">
        <f t="shared" si="32"/>
        <v>0</v>
      </c>
      <c r="T123" s="38">
        <f t="shared" si="33"/>
        <v>8</v>
      </c>
      <c r="U123" s="44">
        <f t="shared" si="34"/>
        <v>48</v>
      </c>
      <c r="W123" t="str">
        <f t="shared" si="36"/>
        <v>Yorkville48</v>
      </c>
    </row>
    <row r="124" spans="1:23">
      <c r="A124" s="38">
        <f t="shared" si="37"/>
        <v>2</v>
      </c>
      <c r="B124" s="38" t="str">
        <f t="shared" si="35"/>
        <v>Yorkville2</v>
      </c>
      <c r="C124" s="38">
        <f ca="1">IF(F124='Inputs and Outputs'!$H$11,1,IF(F124='Inputs and Outputs'!$H$17,2,IF(F124='Inputs and Outputs'!$H$23,3,0)))</f>
        <v>0</v>
      </c>
      <c r="D124" s="38" t="b">
        <f t="shared" ca="1" si="31"/>
        <v>0</v>
      </c>
      <c r="E124">
        <f>'Apartment Listings'!B124</f>
        <v>121</v>
      </c>
      <c r="F124" s="33" t="str">
        <f>'Apartment Listings'!C124</f>
        <v>Yorkville</v>
      </c>
      <c r="G124" s="33">
        <f>VLOOKUP(E124,'Apartment Listings'!B124:N273,13,0)</f>
        <v>13082</v>
      </c>
      <c r="H124" t="str">
        <f>IF(AND('Apartment Listings'!D124&gt;'Financial Worksheet'!$H$5,'Apartment Listings'!D124&lt;'Financial Worksheet'!$H$4),"Y","N")</f>
        <v>N</v>
      </c>
      <c r="I124">
        <f>IF('Inputs and Outputs'!$I$8='Apartment Listings'!D124,'Apartment Scores'!$I$1,0)</f>
        <v>0</v>
      </c>
      <c r="J124">
        <f>IF('Apartment Listings'!F124&gt;='Inputs and Outputs'!$D$36,1,0)</f>
        <v>0</v>
      </c>
      <c r="K124">
        <f>IF('Apartment Listings'!G124&gt;='Inputs and Outputs'!$D$37,1,0)</f>
        <v>1</v>
      </c>
      <c r="L124">
        <f>IF('Apartment Listings'!H124='Inputs and Outputs'!$D$38,1,0)</f>
        <v>0</v>
      </c>
      <c r="M124">
        <f>IF('Apartment Listings'!I124='Inputs and Outputs'!$D$39,1,0)</f>
        <v>1</v>
      </c>
      <c r="N124">
        <f>IF('Apartment Listings'!J124='Inputs and Outputs'!$D$40,1,0)</f>
        <v>1</v>
      </c>
      <c r="O124">
        <f>IF('Apartment Listings'!K124='Inputs and Outputs'!$D$41,1,0)</f>
        <v>0</v>
      </c>
      <c r="P124">
        <f>IF('Apartment Listings'!L124='Inputs and Outputs'!$D$42,1,0)</f>
        <v>0</v>
      </c>
      <c r="Q124">
        <f>IF('Apartment Listings'!M124='Inputs and Outputs'!$D$43,1,0)</f>
        <v>0</v>
      </c>
      <c r="R124">
        <f t="shared" si="32"/>
        <v>0</v>
      </c>
      <c r="T124" s="38">
        <f t="shared" si="33"/>
        <v>0</v>
      </c>
      <c r="U124" s="44">
        <f t="shared" si="34"/>
        <v>131</v>
      </c>
      <c r="W124" t="str">
        <f t="shared" si="36"/>
        <v>Yorkville131</v>
      </c>
    </row>
    <row r="125" spans="1:23">
      <c r="A125" s="38">
        <f t="shared" si="37"/>
        <v>1</v>
      </c>
      <c r="B125" s="38" t="str">
        <f t="shared" si="35"/>
        <v>Lincoln Square1</v>
      </c>
      <c r="C125" s="38">
        <f ca="1">IF(F125='Inputs and Outputs'!$H$11,1,IF(F125='Inputs and Outputs'!$H$17,2,IF(F125='Inputs and Outputs'!$H$23,3,0)))</f>
        <v>0</v>
      </c>
      <c r="D125" s="38" t="b">
        <f t="shared" ca="1" si="31"/>
        <v>0</v>
      </c>
      <c r="E125">
        <f>'Apartment Listings'!B125</f>
        <v>122</v>
      </c>
      <c r="F125" s="33" t="str">
        <f>'Apartment Listings'!C125</f>
        <v>Lincoln Square</v>
      </c>
      <c r="G125" s="33">
        <f>VLOOKUP(E125,'Apartment Listings'!B125:N274,13,0)</f>
        <v>79566</v>
      </c>
      <c r="H125" t="str">
        <f>IF(AND('Apartment Listings'!D125&gt;'Financial Worksheet'!$H$5,'Apartment Listings'!D125&lt;'Financial Worksheet'!$H$4),"Y","N")</f>
        <v>Y</v>
      </c>
      <c r="I125">
        <f>IF('Inputs and Outputs'!$I$8='Apartment Listings'!D125,'Apartment Scores'!$I$1,0)</f>
        <v>0</v>
      </c>
      <c r="J125">
        <f>IF('Apartment Listings'!F125&gt;='Inputs and Outputs'!$D$36,1,0)</f>
        <v>0</v>
      </c>
      <c r="K125">
        <f>IF('Apartment Listings'!G125&gt;='Inputs and Outputs'!$D$37,1,0)</f>
        <v>1</v>
      </c>
      <c r="L125">
        <f>IF('Apartment Listings'!H125='Inputs and Outputs'!$D$38,1,0)</f>
        <v>1</v>
      </c>
      <c r="M125">
        <f>IF('Apartment Listings'!I125='Inputs and Outputs'!$D$39,1,0)</f>
        <v>1</v>
      </c>
      <c r="N125">
        <f>IF('Apartment Listings'!J125='Inputs and Outputs'!$D$40,1,0)</f>
        <v>1</v>
      </c>
      <c r="O125">
        <f>IF('Apartment Listings'!K125='Inputs and Outputs'!$D$41,1,0)</f>
        <v>1</v>
      </c>
      <c r="P125">
        <f>IF('Apartment Listings'!L125='Inputs and Outputs'!$D$42,1,0)</f>
        <v>1</v>
      </c>
      <c r="Q125">
        <f>IF('Apartment Listings'!M125='Inputs and Outputs'!$D$43,1,0)</f>
        <v>1</v>
      </c>
      <c r="R125">
        <f t="shared" si="32"/>
        <v>0</v>
      </c>
      <c r="T125" s="38">
        <f t="shared" si="33"/>
        <v>11</v>
      </c>
      <c r="U125" s="44">
        <f t="shared" si="34"/>
        <v>4</v>
      </c>
      <c r="W125" t="str">
        <f t="shared" si="36"/>
        <v>Lincoln Square4</v>
      </c>
    </row>
    <row r="126" spans="1:23">
      <c r="A126" s="38">
        <f t="shared" si="37"/>
        <v>2</v>
      </c>
      <c r="B126" s="38" t="str">
        <f t="shared" si="35"/>
        <v>Lincoln Square2</v>
      </c>
      <c r="C126" s="38">
        <f ca="1">IF(F126='Inputs and Outputs'!$H$11,1,IF(F126='Inputs and Outputs'!$H$17,2,IF(F126='Inputs and Outputs'!$H$23,3,0)))</f>
        <v>0</v>
      </c>
      <c r="D126" s="38" t="b">
        <f t="shared" ca="1" si="31"/>
        <v>0</v>
      </c>
      <c r="E126">
        <f>'Apartment Listings'!B126</f>
        <v>123</v>
      </c>
      <c r="F126" s="33" t="str">
        <f>'Apartment Listings'!C126</f>
        <v>Lincoln Square</v>
      </c>
      <c r="G126" s="33">
        <f>VLOOKUP(E126,'Apartment Listings'!B126:N275,13,0)</f>
        <v>98383</v>
      </c>
      <c r="H126" t="str">
        <f>IF(AND('Apartment Listings'!D126&gt;'Financial Worksheet'!$H$5,'Apartment Listings'!D126&lt;'Financial Worksheet'!$H$4),"Y","N")</f>
        <v>Y</v>
      </c>
      <c r="I126">
        <f>IF('Inputs and Outputs'!$I$8='Apartment Listings'!D126,'Apartment Scores'!$I$1,0)</f>
        <v>0</v>
      </c>
      <c r="J126">
        <f>IF('Apartment Listings'!F126&gt;='Inputs and Outputs'!$D$36,1,0)</f>
        <v>0</v>
      </c>
      <c r="K126">
        <f>IF('Apartment Listings'!G126&gt;='Inputs and Outputs'!$D$37,1,0)</f>
        <v>1</v>
      </c>
      <c r="L126">
        <f>IF('Apartment Listings'!H126='Inputs and Outputs'!$D$38,1,0)</f>
        <v>0</v>
      </c>
      <c r="M126">
        <f>IF('Apartment Listings'!I126='Inputs and Outputs'!$D$39,1,0)</f>
        <v>1</v>
      </c>
      <c r="N126">
        <f>IF('Apartment Listings'!J126='Inputs and Outputs'!$D$40,1,0)</f>
        <v>1</v>
      </c>
      <c r="O126">
        <f>IF('Apartment Listings'!K126='Inputs and Outputs'!$D$41,1,0)</f>
        <v>1</v>
      </c>
      <c r="P126">
        <f>IF('Apartment Listings'!L126='Inputs and Outputs'!$D$42,1,0)</f>
        <v>1</v>
      </c>
      <c r="Q126">
        <f>IF('Apartment Listings'!M126='Inputs and Outputs'!$D$43,1,0)</f>
        <v>0</v>
      </c>
      <c r="R126">
        <f t="shared" si="32"/>
        <v>0</v>
      </c>
      <c r="T126" s="38">
        <f t="shared" si="33"/>
        <v>9</v>
      </c>
      <c r="U126" s="44">
        <f t="shared" si="34"/>
        <v>27</v>
      </c>
      <c r="W126" t="str">
        <f t="shared" si="36"/>
        <v>Lincoln Square27</v>
      </c>
    </row>
    <row r="127" spans="1:23">
      <c r="A127" s="38">
        <f t="shared" si="37"/>
        <v>3</v>
      </c>
      <c r="B127" s="38" t="str">
        <f t="shared" si="35"/>
        <v>Lincoln Square3</v>
      </c>
      <c r="C127" s="38">
        <f ca="1">IF(F127='Inputs and Outputs'!$H$11,1,IF(F127='Inputs and Outputs'!$H$17,2,IF(F127='Inputs and Outputs'!$H$23,3,0)))</f>
        <v>0</v>
      </c>
      <c r="D127" s="38" t="b">
        <f t="shared" ca="1" si="31"/>
        <v>0</v>
      </c>
      <c r="E127">
        <f>'Apartment Listings'!B127</f>
        <v>124</v>
      </c>
      <c r="F127" s="33" t="str">
        <f>'Apartment Listings'!C127</f>
        <v>Lincoln Square</v>
      </c>
      <c r="G127" s="33">
        <f>VLOOKUP(E127,'Apartment Listings'!B127:N276,13,0)</f>
        <v>84281</v>
      </c>
      <c r="H127" t="str">
        <f>IF(AND('Apartment Listings'!D127&gt;'Financial Worksheet'!$H$5,'Apartment Listings'!D127&lt;'Financial Worksheet'!$H$4),"Y","N")</f>
        <v>Y</v>
      </c>
      <c r="I127">
        <f>IF('Inputs and Outputs'!$I$8='Apartment Listings'!D127,'Apartment Scores'!$I$1,0)</f>
        <v>0</v>
      </c>
      <c r="J127">
        <f>IF('Apartment Listings'!F127&gt;='Inputs and Outputs'!$D$36,1,0)</f>
        <v>0</v>
      </c>
      <c r="K127">
        <f>IF('Apartment Listings'!G127&gt;='Inputs and Outputs'!$D$37,1,0)</f>
        <v>1</v>
      </c>
      <c r="L127">
        <f>IF('Apartment Listings'!H127='Inputs and Outputs'!$D$38,1,0)</f>
        <v>0</v>
      </c>
      <c r="M127">
        <f>IF('Apartment Listings'!I127='Inputs and Outputs'!$D$39,1,0)</f>
        <v>0</v>
      </c>
      <c r="N127">
        <f>IF('Apartment Listings'!J127='Inputs and Outputs'!$D$40,1,0)</f>
        <v>1</v>
      </c>
      <c r="O127">
        <f>IF('Apartment Listings'!K127='Inputs and Outputs'!$D$41,1,0)</f>
        <v>1</v>
      </c>
      <c r="P127">
        <f>IF('Apartment Listings'!L127='Inputs and Outputs'!$D$42,1,0)</f>
        <v>0</v>
      </c>
      <c r="Q127">
        <f>IF('Apartment Listings'!M127='Inputs and Outputs'!$D$43,1,0)</f>
        <v>0</v>
      </c>
      <c r="R127">
        <f t="shared" si="32"/>
        <v>0</v>
      </c>
      <c r="T127" s="38">
        <f t="shared" si="33"/>
        <v>7</v>
      </c>
      <c r="U127" s="44">
        <f t="shared" si="34"/>
        <v>61</v>
      </c>
      <c r="W127" t="str">
        <f t="shared" si="36"/>
        <v>Lincoln Square61</v>
      </c>
    </row>
    <row r="128" spans="1:23">
      <c r="A128" s="38">
        <f t="shared" si="37"/>
        <v>4</v>
      </c>
      <c r="B128" s="38" t="str">
        <f t="shared" si="35"/>
        <v>Lincoln Square4</v>
      </c>
      <c r="C128" s="38">
        <f ca="1">IF(F128='Inputs and Outputs'!$H$11,1,IF(F128='Inputs and Outputs'!$H$17,2,IF(F128='Inputs and Outputs'!$H$23,3,0)))</f>
        <v>0</v>
      </c>
      <c r="D128" s="38" t="b">
        <f t="shared" ca="1" si="31"/>
        <v>0</v>
      </c>
      <c r="E128">
        <f>'Apartment Listings'!B128</f>
        <v>125</v>
      </c>
      <c r="F128" s="33" t="str">
        <f>'Apartment Listings'!C128</f>
        <v>Lincoln Square</v>
      </c>
      <c r="G128" s="33">
        <f>VLOOKUP(E128,'Apartment Listings'!B128:N277,13,0)</f>
        <v>74308</v>
      </c>
      <c r="H128" t="str">
        <f>IF(AND('Apartment Listings'!D128&gt;'Financial Worksheet'!$H$5,'Apartment Listings'!D128&lt;'Financial Worksheet'!$H$4),"Y","N")</f>
        <v>N</v>
      </c>
      <c r="I128">
        <f>IF('Inputs and Outputs'!$I$8='Apartment Listings'!D128,'Apartment Scores'!$I$1,0)</f>
        <v>0</v>
      </c>
      <c r="J128">
        <f>IF('Apartment Listings'!F128&gt;='Inputs and Outputs'!$D$36,1,0)</f>
        <v>1</v>
      </c>
      <c r="K128">
        <f>IF('Apartment Listings'!G128&gt;='Inputs and Outputs'!$D$37,1,0)</f>
        <v>1</v>
      </c>
      <c r="L128">
        <f>IF('Apartment Listings'!H128='Inputs and Outputs'!$D$38,1,0)</f>
        <v>1</v>
      </c>
      <c r="M128">
        <f>IF('Apartment Listings'!I128='Inputs and Outputs'!$D$39,1,0)</f>
        <v>1</v>
      </c>
      <c r="N128">
        <f>IF('Apartment Listings'!J128='Inputs and Outputs'!$D$40,1,0)</f>
        <v>1</v>
      </c>
      <c r="O128">
        <f>IF('Apartment Listings'!K128='Inputs and Outputs'!$D$41,1,0)</f>
        <v>1</v>
      </c>
      <c r="P128">
        <f>IF('Apartment Listings'!L128='Inputs and Outputs'!$D$42,1,0)</f>
        <v>0</v>
      </c>
      <c r="Q128">
        <f>IF('Apartment Listings'!M128='Inputs and Outputs'!$D$43,1,0)</f>
        <v>0</v>
      </c>
      <c r="R128">
        <f t="shared" si="32"/>
        <v>0</v>
      </c>
      <c r="T128" s="38">
        <f t="shared" si="33"/>
        <v>3</v>
      </c>
      <c r="U128" s="44">
        <f t="shared" si="34"/>
        <v>107</v>
      </c>
      <c r="W128" t="str">
        <f t="shared" si="36"/>
        <v>Lincoln Square107</v>
      </c>
    </row>
    <row r="129" spans="1:23">
      <c r="A129" s="38">
        <f t="shared" si="37"/>
        <v>5</v>
      </c>
      <c r="B129" s="38" t="str">
        <f t="shared" si="35"/>
        <v>Lincoln Square5</v>
      </c>
      <c r="C129" s="38">
        <f ca="1">IF(F129='Inputs and Outputs'!$H$11,1,IF(F129='Inputs and Outputs'!$H$17,2,IF(F129='Inputs and Outputs'!$H$23,3,0)))</f>
        <v>0</v>
      </c>
      <c r="D129" s="38" t="b">
        <f t="shared" ca="1" si="31"/>
        <v>0</v>
      </c>
      <c r="E129">
        <f>'Apartment Listings'!B129</f>
        <v>126</v>
      </c>
      <c r="F129" s="33" t="str">
        <f>'Apartment Listings'!C129</f>
        <v>Lincoln Square</v>
      </c>
      <c r="G129" s="33">
        <f>VLOOKUP(E129,'Apartment Listings'!B129:N278,13,0)</f>
        <v>20899</v>
      </c>
      <c r="H129" t="str">
        <f>IF(AND('Apartment Listings'!D129&gt;'Financial Worksheet'!$H$5,'Apartment Listings'!D129&lt;'Financial Worksheet'!$H$4),"Y","N")</f>
        <v>N</v>
      </c>
      <c r="I129">
        <f>IF('Inputs and Outputs'!$I$8='Apartment Listings'!D129,'Apartment Scores'!$I$1,0)</f>
        <v>0</v>
      </c>
      <c r="J129">
        <f>IF('Apartment Listings'!F129&gt;='Inputs and Outputs'!$D$36,1,0)</f>
        <v>1</v>
      </c>
      <c r="K129">
        <f>IF('Apartment Listings'!G129&gt;='Inputs and Outputs'!$D$37,1,0)</f>
        <v>1</v>
      </c>
      <c r="L129">
        <f>IF('Apartment Listings'!H129='Inputs and Outputs'!$D$38,1,0)</f>
        <v>0</v>
      </c>
      <c r="M129">
        <f>IF('Apartment Listings'!I129='Inputs and Outputs'!$D$39,1,0)</f>
        <v>1</v>
      </c>
      <c r="N129">
        <f>IF('Apartment Listings'!J129='Inputs and Outputs'!$D$40,1,0)</f>
        <v>1</v>
      </c>
      <c r="O129">
        <f>IF('Apartment Listings'!K129='Inputs and Outputs'!$D$41,1,0)</f>
        <v>1</v>
      </c>
      <c r="P129">
        <f>IF('Apartment Listings'!L129='Inputs and Outputs'!$D$42,1,0)</f>
        <v>1</v>
      </c>
      <c r="Q129">
        <f>IF('Apartment Listings'!M129='Inputs and Outputs'!$D$43,1,0)</f>
        <v>0</v>
      </c>
      <c r="R129">
        <f t="shared" si="32"/>
        <v>0</v>
      </c>
      <c r="T129" s="38">
        <f t="shared" si="33"/>
        <v>3</v>
      </c>
      <c r="U129" s="44">
        <f t="shared" si="34"/>
        <v>107</v>
      </c>
      <c r="W129" t="str">
        <f t="shared" si="36"/>
        <v>Lincoln Square107</v>
      </c>
    </row>
    <row r="130" spans="1:23">
      <c r="A130" s="38">
        <f t="shared" si="37"/>
        <v>6</v>
      </c>
      <c r="B130" s="38" t="str">
        <f t="shared" si="35"/>
        <v>Lincoln Square6</v>
      </c>
      <c r="C130" s="38">
        <f ca="1">IF(F130='Inputs and Outputs'!$H$11,1,IF(F130='Inputs and Outputs'!$H$17,2,IF(F130='Inputs and Outputs'!$H$23,3,0)))</f>
        <v>0</v>
      </c>
      <c r="D130" s="38" t="b">
        <f t="shared" ca="1" si="31"/>
        <v>0</v>
      </c>
      <c r="E130">
        <f>'Apartment Listings'!B130</f>
        <v>127</v>
      </c>
      <c r="F130" s="33" t="str">
        <f>'Apartment Listings'!C130</f>
        <v>Lincoln Square</v>
      </c>
      <c r="G130" s="33">
        <f>VLOOKUP(E130,'Apartment Listings'!B130:N279,13,0)</f>
        <v>26150</v>
      </c>
      <c r="H130" t="str">
        <f>IF(AND('Apartment Listings'!D130&gt;'Financial Worksheet'!$H$5,'Apartment Listings'!D130&lt;'Financial Worksheet'!$H$4),"Y","N")</f>
        <v>Y</v>
      </c>
      <c r="I130">
        <f>IF('Inputs and Outputs'!$I$8='Apartment Listings'!D130,'Apartment Scores'!$I$1,0)</f>
        <v>0</v>
      </c>
      <c r="J130">
        <f>IF('Apartment Listings'!F130&gt;='Inputs and Outputs'!$D$36,1,0)</f>
        <v>0</v>
      </c>
      <c r="K130">
        <f>IF('Apartment Listings'!G130&gt;='Inputs and Outputs'!$D$37,1,0)</f>
        <v>1</v>
      </c>
      <c r="L130">
        <f>IF('Apartment Listings'!H130='Inputs and Outputs'!$D$38,1,0)</f>
        <v>0</v>
      </c>
      <c r="M130">
        <f>IF('Apartment Listings'!I130='Inputs and Outputs'!$D$39,1,0)</f>
        <v>1</v>
      </c>
      <c r="N130">
        <f>IF('Apartment Listings'!J130='Inputs and Outputs'!$D$40,1,0)</f>
        <v>1</v>
      </c>
      <c r="O130">
        <f>IF('Apartment Listings'!K130='Inputs and Outputs'!$D$41,1,0)</f>
        <v>1</v>
      </c>
      <c r="P130">
        <f>IF('Apartment Listings'!L130='Inputs and Outputs'!$D$42,1,0)</f>
        <v>1</v>
      </c>
      <c r="Q130">
        <f>IF('Apartment Listings'!M130='Inputs and Outputs'!$D$43,1,0)</f>
        <v>1</v>
      </c>
      <c r="R130">
        <f t="shared" si="32"/>
        <v>0</v>
      </c>
      <c r="T130" s="38">
        <f t="shared" si="33"/>
        <v>10</v>
      </c>
      <c r="U130" s="44">
        <f t="shared" si="34"/>
        <v>11</v>
      </c>
      <c r="W130" t="str">
        <f t="shared" si="36"/>
        <v>Lincoln Square11</v>
      </c>
    </row>
    <row r="131" spans="1:23">
      <c r="A131" s="38">
        <f t="shared" si="37"/>
        <v>1</v>
      </c>
      <c r="B131" s="38" t="str">
        <f t="shared" si="35"/>
        <v>Manhattan Valley1</v>
      </c>
      <c r="C131" s="38">
        <f ca="1">IF(F131='Inputs and Outputs'!$H$11,1,IF(F131='Inputs and Outputs'!$H$17,2,IF(F131='Inputs and Outputs'!$H$23,3,0)))</f>
        <v>0</v>
      </c>
      <c r="D131" s="38" t="b">
        <f t="shared" ca="1" si="31"/>
        <v>0</v>
      </c>
      <c r="E131">
        <f>'Apartment Listings'!B131</f>
        <v>128</v>
      </c>
      <c r="F131" s="33" t="str">
        <f>'Apartment Listings'!C131</f>
        <v>Manhattan Valley</v>
      </c>
      <c r="G131" s="33">
        <f>VLOOKUP(E131,'Apartment Listings'!B131:N280,13,0)</f>
        <v>90309</v>
      </c>
      <c r="H131" t="str">
        <f>IF(AND('Apartment Listings'!D131&gt;'Financial Worksheet'!$H$5,'Apartment Listings'!D131&lt;'Financial Worksheet'!$H$4),"Y","N")</f>
        <v>Y</v>
      </c>
      <c r="I131">
        <f>IF('Inputs and Outputs'!$I$8='Apartment Listings'!D131,'Apartment Scores'!$I$1,0)</f>
        <v>0</v>
      </c>
      <c r="J131">
        <f>IF('Apartment Listings'!F131&gt;='Inputs and Outputs'!$D$36,1,0)</f>
        <v>0</v>
      </c>
      <c r="K131">
        <f>IF('Apartment Listings'!G131&gt;='Inputs and Outputs'!$D$37,1,0)</f>
        <v>1</v>
      </c>
      <c r="L131">
        <f>IF('Apartment Listings'!H131='Inputs and Outputs'!$D$38,1,0)</f>
        <v>0</v>
      </c>
      <c r="M131">
        <f>IF('Apartment Listings'!I131='Inputs and Outputs'!$D$39,1,0)</f>
        <v>1</v>
      </c>
      <c r="N131">
        <f>IF('Apartment Listings'!J131='Inputs and Outputs'!$D$40,1,0)</f>
        <v>1</v>
      </c>
      <c r="O131">
        <f>IF('Apartment Listings'!K131='Inputs and Outputs'!$D$41,1,0)</f>
        <v>1</v>
      </c>
      <c r="P131">
        <f>IF('Apartment Listings'!L131='Inputs and Outputs'!$D$42,1,0)</f>
        <v>1</v>
      </c>
      <c r="Q131">
        <f>IF('Apartment Listings'!M131='Inputs and Outputs'!$D$43,1,0)</f>
        <v>0</v>
      </c>
      <c r="R131">
        <f t="shared" si="32"/>
        <v>0</v>
      </c>
      <c r="T131" s="38">
        <f t="shared" si="33"/>
        <v>9</v>
      </c>
      <c r="U131" s="44">
        <f t="shared" si="34"/>
        <v>27</v>
      </c>
      <c r="W131" t="str">
        <f t="shared" si="36"/>
        <v>Manhattan Valley27</v>
      </c>
    </row>
    <row r="132" spans="1:23">
      <c r="A132" s="38">
        <f t="shared" si="37"/>
        <v>2</v>
      </c>
      <c r="B132" s="38" t="str">
        <f t="shared" ref="B132:B153" si="38">CONCATENATE(F132,A132)</f>
        <v>Manhattan Valley2</v>
      </c>
      <c r="C132" s="38">
        <f ca="1">IF(F132='Inputs and Outputs'!$H$11,1,IF(F132='Inputs and Outputs'!$H$17,2,IF(F132='Inputs and Outputs'!$H$23,3,0)))</f>
        <v>0</v>
      </c>
      <c r="D132" s="38" t="b">
        <f t="shared" ca="1" si="31"/>
        <v>0</v>
      </c>
      <c r="E132">
        <f>'Apartment Listings'!B132</f>
        <v>129</v>
      </c>
      <c r="F132" s="33" t="str">
        <f>'Apartment Listings'!C132</f>
        <v>Manhattan Valley</v>
      </c>
      <c r="G132" s="33">
        <f>VLOOKUP(E132,'Apartment Listings'!B132:N281,13,0)</f>
        <v>64000</v>
      </c>
      <c r="H132" t="str">
        <f>IF(AND('Apartment Listings'!D132&gt;'Financial Worksheet'!$H$5,'Apartment Listings'!D132&lt;'Financial Worksheet'!$H$4),"Y","N")</f>
        <v>N</v>
      </c>
      <c r="I132">
        <f>IF('Inputs and Outputs'!$I$8='Apartment Listings'!D132,'Apartment Scores'!$I$1,0)</f>
        <v>0</v>
      </c>
      <c r="J132">
        <f>IF('Apartment Listings'!F132&gt;='Inputs and Outputs'!$D$36,1,0)</f>
        <v>0</v>
      </c>
      <c r="K132">
        <f>IF('Apartment Listings'!G132&gt;='Inputs and Outputs'!$D$37,1,0)</f>
        <v>1</v>
      </c>
      <c r="L132">
        <f>IF('Apartment Listings'!H132='Inputs and Outputs'!$D$38,1,0)</f>
        <v>0</v>
      </c>
      <c r="M132">
        <f>IF('Apartment Listings'!I132='Inputs and Outputs'!$D$39,1,0)</f>
        <v>1</v>
      </c>
      <c r="N132">
        <f>IF('Apartment Listings'!J132='Inputs and Outputs'!$D$40,1,0)</f>
        <v>0</v>
      </c>
      <c r="O132">
        <f>IF('Apartment Listings'!K132='Inputs and Outputs'!$D$41,1,0)</f>
        <v>0</v>
      </c>
      <c r="P132">
        <f>IF('Apartment Listings'!L132='Inputs and Outputs'!$D$42,1,0)</f>
        <v>0</v>
      </c>
      <c r="Q132">
        <f>IF('Apartment Listings'!M132='Inputs and Outputs'!$D$43,1,0)</f>
        <v>0</v>
      </c>
      <c r="R132">
        <f t="shared" si="32"/>
        <v>0</v>
      </c>
      <c r="T132" s="38">
        <f t="shared" si="33"/>
        <v>-1</v>
      </c>
      <c r="U132" s="44">
        <f t="shared" si="34"/>
        <v>143</v>
      </c>
      <c r="W132" t="str">
        <f t="shared" ref="W132:W153" si="39">CONCATENATE(F132,U132)</f>
        <v>Manhattan Valley143</v>
      </c>
    </row>
    <row r="133" spans="1:23">
      <c r="A133" s="38">
        <f t="shared" ref="A133:A153" si="40">IF(F133=F132,A132+1,1)</f>
        <v>1</v>
      </c>
      <c r="B133" s="38" t="str">
        <f t="shared" si="38"/>
        <v>Upper West Side1</v>
      </c>
      <c r="C133" s="38">
        <f ca="1">IF(F133='Inputs and Outputs'!$H$11,1,IF(F133='Inputs and Outputs'!$H$17,2,IF(F133='Inputs and Outputs'!$H$23,3,0)))</f>
        <v>0</v>
      </c>
      <c r="D133" s="38" t="b">
        <f t="shared" ref="D133:D153" ca="1" si="41">IF(C133=$Y$2,VLOOKUP(B133,$AA$4:$AE$23,5,0),IF(C133=$AG$2,VLOOKUP(B133,$AI$4:$AM$23,5,0),IF(C133=$AO$2,VLOOKUP(B133,$AQ$4:$AU$23,5,0))))</f>
        <v>0</v>
      </c>
      <c r="E133">
        <f>'Apartment Listings'!B133</f>
        <v>130</v>
      </c>
      <c r="F133" s="33" t="str">
        <f>'Apartment Listings'!C133</f>
        <v>Upper West Side</v>
      </c>
      <c r="G133" s="33">
        <f>VLOOKUP(E133,'Apartment Listings'!B133:N282,13,0)</f>
        <v>58697</v>
      </c>
      <c r="H133" t="str">
        <f>IF(AND('Apartment Listings'!D133&gt;'Financial Worksheet'!$H$5,'Apartment Listings'!D133&lt;'Financial Worksheet'!$H$4),"Y","N")</f>
        <v>Y</v>
      </c>
      <c r="I133">
        <f>IF('Inputs and Outputs'!$I$8='Apartment Listings'!D133,'Apartment Scores'!$I$1,0)</f>
        <v>0</v>
      </c>
      <c r="J133">
        <f>IF('Apartment Listings'!F133&gt;='Inputs and Outputs'!$D$36,1,0)</f>
        <v>0</v>
      </c>
      <c r="K133">
        <f>IF('Apartment Listings'!G133&gt;='Inputs and Outputs'!$D$37,1,0)</f>
        <v>1</v>
      </c>
      <c r="L133">
        <f>IF('Apartment Listings'!H133='Inputs and Outputs'!$D$38,1,0)</f>
        <v>0</v>
      </c>
      <c r="M133">
        <f>IF('Apartment Listings'!I133='Inputs and Outputs'!$D$39,1,0)</f>
        <v>1</v>
      </c>
      <c r="N133">
        <f>IF('Apartment Listings'!J133='Inputs and Outputs'!$D$40,1,0)</f>
        <v>0</v>
      </c>
      <c r="O133">
        <f>IF('Apartment Listings'!K133='Inputs and Outputs'!$D$41,1,0)</f>
        <v>0</v>
      </c>
      <c r="P133">
        <f>IF('Apartment Listings'!L133='Inputs and Outputs'!$D$42,1,0)</f>
        <v>0</v>
      </c>
      <c r="Q133">
        <f>IF('Apartment Listings'!M133='Inputs and Outputs'!$D$43,1,0)</f>
        <v>0</v>
      </c>
      <c r="R133">
        <f t="shared" ref="R133:R153" si="42">IF($J$3=J133,IF($K$3=K133,IF($L$3=L133,IF($M$3=M133,IF($N$3=N133,IF($O$3=O133,IF($P$3=P133,IF($Q$3=Q133,$R$1,0),0),0),0),0),0),0),0)</f>
        <v>0</v>
      </c>
      <c r="T133" s="38">
        <f t="shared" ref="T133:T153" si="43">SUM(I133:R133)+IF(H133="Y",$H$1,-3)</f>
        <v>6</v>
      </c>
      <c r="U133" s="44">
        <f t="shared" ref="U133:U153" si="44">RANK(T133,$T$4:$T$153)</f>
        <v>79</v>
      </c>
      <c r="W133" t="str">
        <f t="shared" si="39"/>
        <v>Upper West Side79</v>
      </c>
    </row>
    <row r="134" spans="1:23">
      <c r="A134" s="38">
        <f t="shared" si="40"/>
        <v>2</v>
      </c>
      <c r="B134" s="38" t="str">
        <f t="shared" si="38"/>
        <v>Upper West Side2</v>
      </c>
      <c r="C134" s="38">
        <f ca="1">IF(F134='Inputs and Outputs'!$H$11,1,IF(F134='Inputs and Outputs'!$H$17,2,IF(F134='Inputs and Outputs'!$H$23,3,0)))</f>
        <v>0</v>
      </c>
      <c r="D134" s="38" t="b">
        <f t="shared" ca="1" si="41"/>
        <v>0</v>
      </c>
      <c r="E134">
        <f>'Apartment Listings'!B134</f>
        <v>131</v>
      </c>
      <c r="F134" s="33" t="str">
        <f>'Apartment Listings'!C134</f>
        <v>Upper West Side</v>
      </c>
      <c r="G134" s="33">
        <f>VLOOKUP(E134,'Apartment Listings'!B134:N283,13,0)</f>
        <v>18847</v>
      </c>
      <c r="H134" t="str">
        <f>IF(AND('Apartment Listings'!D134&gt;'Financial Worksheet'!$H$5,'Apartment Listings'!D134&lt;'Financial Worksheet'!$H$4),"Y","N")</f>
        <v>Y</v>
      </c>
      <c r="I134">
        <f>IF('Inputs and Outputs'!$I$8='Apartment Listings'!D134,'Apartment Scores'!$I$1,0)</f>
        <v>0</v>
      </c>
      <c r="J134">
        <f>IF('Apartment Listings'!F134&gt;='Inputs and Outputs'!$D$36,1,0)</f>
        <v>0</v>
      </c>
      <c r="K134">
        <f>IF('Apartment Listings'!G134&gt;='Inputs and Outputs'!$D$37,1,0)</f>
        <v>1</v>
      </c>
      <c r="L134">
        <f>IF('Apartment Listings'!H134='Inputs and Outputs'!$D$38,1,0)</f>
        <v>1</v>
      </c>
      <c r="M134">
        <f>IF('Apartment Listings'!I134='Inputs and Outputs'!$D$39,1,0)</f>
        <v>1</v>
      </c>
      <c r="N134">
        <f>IF('Apartment Listings'!J134='Inputs and Outputs'!$D$40,1,0)</f>
        <v>1</v>
      </c>
      <c r="O134">
        <f>IF('Apartment Listings'!K134='Inputs and Outputs'!$D$41,1,0)</f>
        <v>1</v>
      </c>
      <c r="P134">
        <f>IF('Apartment Listings'!L134='Inputs and Outputs'!$D$42,1,0)</f>
        <v>1</v>
      </c>
      <c r="Q134">
        <f>IF('Apartment Listings'!M134='Inputs and Outputs'!$D$43,1,0)</f>
        <v>0</v>
      </c>
      <c r="R134">
        <f t="shared" si="42"/>
        <v>0</v>
      </c>
      <c r="T134" s="38">
        <f t="shared" si="43"/>
        <v>10</v>
      </c>
      <c r="U134" s="44">
        <f t="shared" si="44"/>
        <v>11</v>
      </c>
      <c r="W134" t="str">
        <f t="shared" si="39"/>
        <v>Upper West Side11</v>
      </c>
    </row>
    <row r="135" spans="1:23">
      <c r="A135" s="38">
        <f t="shared" si="40"/>
        <v>3</v>
      </c>
      <c r="B135" s="38" t="str">
        <f t="shared" si="38"/>
        <v>Upper West Side3</v>
      </c>
      <c r="C135" s="38">
        <f ca="1">IF(F135='Inputs and Outputs'!$H$11,1,IF(F135='Inputs and Outputs'!$H$17,2,IF(F135='Inputs and Outputs'!$H$23,3,0)))</f>
        <v>0</v>
      </c>
      <c r="D135" s="38" t="b">
        <f t="shared" ca="1" si="41"/>
        <v>0</v>
      </c>
      <c r="E135">
        <f>'Apartment Listings'!B135</f>
        <v>132</v>
      </c>
      <c r="F135" s="33" t="str">
        <f>'Apartment Listings'!C135</f>
        <v>Upper West Side</v>
      </c>
      <c r="G135" s="33">
        <f>VLOOKUP(E135,'Apartment Listings'!B135:N284,13,0)</f>
        <v>18517</v>
      </c>
      <c r="H135" t="str">
        <f>IF(AND('Apartment Listings'!D135&gt;'Financial Worksheet'!$H$5,'Apartment Listings'!D135&lt;'Financial Worksheet'!$H$4),"Y","N")</f>
        <v>N</v>
      </c>
      <c r="I135">
        <f>IF('Inputs and Outputs'!$I$8='Apartment Listings'!D135,'Apartment Scores'!$I$1,0)</f>
        <v>0</v>
      </c>
      <c r="J135">
        <f>IF('Apartment Listings'!F135&gt;='Inputs and Outputs'!$D$36,1,0)</f>
        <v>1</v>
      </c>
      <c r="K135">
        <f>IF('Apartment Listings'!G135&gt;='Inputs and Outputs'!$D$37,1,0)</f>
        <v>1</v>
      </c>
      <c r="L135">
        <f>IF('Apartment Listings'!H135='Inputs and Outputs'!$D$38,1,0)</f>
        <v>1</v>
      </c>
      <c r="M135">
        <f>IF('Apartment Listings'!I135='Inputs and Outputs'!$D$39,1,0)</f>
        <v>1</v>
      </c>
      <c r="N135">
        <f>IF('Apartment Listings'!J135='Inputs and Outputs'!$D$40,1,0)</f>
        <v>1</v>
      </c>
      <c r="O135">
        <f>IF('Apartment Listings'!K135='Inputs and Outputs'!$D$41,1,0)</f>
        <v>1</v>
      </c>
      <c r="P135">
        <f>IF('Apartment Listings'!L135='Inputs and Outputs'!$D$42,1,0)</f>
        <v>1</v>
      </c>
      <c r="Q135">
        <f>IF('Apartment Listings'!M135='Inputs and Outputs'!$D$43,1,0)</f>
        <v>1</v>
      </c>
      <c r="R135">
        <f t="shared" si="42"/>
        <v>2</v>
      </c>
      <c r="T135" s="38">
        <f t="shared" si="43"/>
        <v>7</v>
      </c>
      <c r="U135" s="44">
        <f t="shared" si="44"/>
        <v>61</v>
      </c>
      <c r="W135" t="str">
        <f t="shared" si="39"/>
        <v>Upper West Side61</v>
      </c>
    </row>
    <row r="136" spans="1:23">
      <c r="A136" s="38">
        <f t="shared" si="40"/>
        <v>4</v>
      </c>
      <c r="B136" s="38" t="str">
        <f t="shared" si="38"/>
        <v>Upper West Side4</v>
      </c>
      <c r="C136" s="38">
        <f ca="1">IF(F136='Inputs and Outputs'!$H$11,1,IF(F136='Inputs and Outputs'!$H$17,2,IF(F136='Inputs and Outputs'!$H$23,3,0)))</f>
        <v>0</v>
      </c>
      <c r="D136" s="38" t="b">
        <f t="shared" ca="1" si="41"/>
        <v>0</v>
      </c>
      <c r="E136">
        <f>'Apartment Listings'!B136</f>
        <v>133</v>
      </c>
      <c r="F136" s="33" t="str">
        <f>'Apartment Listings'!C136</f>
        <v>Upper West Side</v>
      </c>
      <c r="G136" s="33">
        <f>VLOOKUP(E136,'Apartment Listings'!B136:N285,13,0)</f>
        <v>46917</v>
      </c>
      <c r="H136" t="str">
        <f>IF(AND('Apartment Listings'!D136&gt;'Financial Worksheet'!$H$5,'Apartment Listings'!D136&lt;'Financial Worksheet'!$H$4),"Y","N")</f>
        <v>Y</v>
      </c>
      <c r="I136">
        <f>IF('Inputs and Outputs'!$I$8='Apartment Listings'!D136,'Apartment Scores'!$I$1,0)</f>
        <v>0</v>
      </c>
      <c r="J136">
        <f>IF('Apartment Listings'!F136&gt;='Inputs and Outputs'!$D$36,1,0)</f>
        <v>0</v>
      </c>
      <c r="K136">
        <f>IF('Apartment Listings'!G136&gt;='Inputs and Outputs'!$D$37,1,0)</f>
        <v>1</v>
      </c>
      <c r="L136">
        <f>IF('Apartment Listings'!H136='Inputs and Outputs'!$D$38,1,0)</f>
        <v>1</v>
      </c>
      <c r="M136">
        <f>IF('Apartment Listings'!I136='Inputs and Outputs'!$D$39,1,0)</f>
        <v>0</v>
      </c>
      <c r="N136">
        <f>IF('Apartment Listings'!J136='Inputs and Outputs'!$D$40,1,0)</f>
        <v>0</v>
      </c>
      <c r="O136">
        <f>IF('Apartment Listings'!K136='Inputs and Outputs'!$D$41,1,0)</f>
        <v>0</v>
      </c>
      <c r="P136">
        <f>IF('Apartment Listings'!L136='Inputs and Outputs'!$D$42,1,0)</f>
        <v>1</v>
      </c>
      <c r="Q136">
        <f>IF('Apartment Listings'!M136='Inputs and Outputs'!$D$43,1,0)</f>
        <v>1</v>
      </c>
      <c r="R136">
        <f t="shared" si="42"/>
        <v>0</v>
      </c>
      <c r="T136" s="38">
        <f t="shared" si="43"/>
        <v>8</v>
      </c>
      <c r="U136" s="44">
        <f t="shared" si="44"/>
        <v>48</v>
      </c>
      <c r="W136" t="str">
        <f t="shared" si="39"/>
        <v>Upper West Side48</v>
      </c>
    </row>
    <row r="137" spans="1:23">
      <c r="A137" s="38">
        <f t="shared" si="40"/>
        <v>5</v>
      </c>
      <c r="B137" s="38" t="str">
        <f t="shared" si="38"/>
        <v>Upper West Side5</v>
      </c>
      <c r="C137" s="38">
        <f ca="1">IF(F137='Inputs and Outputs'!$H$11,1,IF(F137='Inputs and Outputs'!$H$17,2,IF(F137='Inputs and Outputs'!$H$23,3,0)))</f>
        <v>0</v>
      </c>
      <c r="D137" s="38" t="b">
        <f t="shared" ca="1" si="41"/>
        <v>0</v>
      </c>
      <c r="E137">
        <f>'Apartment Listings'!B137</f>
        <v>134</v>
      </c>
      <c r="F137" s="33" t="str">
        <f>'Apartment Listings'!C137</f>
        <v>Upper West Side</v>
      </c>
      <c r="G137" s="33">
        <f>VLOOKUP(E137,'Apartment Listings'!B137:N286,13,0)</f>
        <v>87832</v>
      </c>
      <c r="H137" t="str">
        <f>IF(AND('Apartment Listings'!D137&gt;'Financial Worksheet'!$H$5,'Apartment Listings'!D137&lt;'Financial Worksheet'!$H$4),"Y","N")</f>
        <v>Y</v>
      </c>
      <c r="I137">
        <f>IF('Inputs and Outputs'!$I$8='Apartment Listings'!D137,'Apartment Scores'!$I$1,0)</f>
        <v>0</v>
      </c>
      <c r="J137">
        <f>IF('Apartment Listings'!F137&gt;='Inputs and Outputs'!$D$36,1,0)</f>
        <v>0</v>
      </c>
      <c r="K137">
        <f>IF('Apartment Listings'!G137&gt;='Inputs and Outputs'!$D$37,1,0)</f>
        <v>1</v>
      </c>
      <c r="L137">
        <f>IF('Apartment Listings'!H137='Inputs and Outputs'!$D$38,1,0)</f>
        <v>0</v>
      </c>
      <c r="M137">
        <f>IF('Apartment Listings'!I137='Inputs and Outputs'!$D$39,1,0)</f>
        <v>1</v>
      </c>
      <c r="N137">
        <f>IF('Apartment Listings'!J137='Inputs and Outputs'!$D$40,1,0)</f>
        <v>0</v>
      </c>
      <c r="O137">
        <f>IF('Apartment Listings'!K137='Inputs and Outputs'!$D$41,1,0)</f>
        <v>0</v>
      </c>
      <c r="P137">
        <f>IF('Apartment Listings'!L137='Inputs and Outputs'!$D$42,1,0)</f>
        <v>1</v>
      </c>
      <c r="Q137">
        <f>IF('Apartment Listings'!M137='Inputs and Outputs'!$D$43,1,0)</f>
        <v>0</v>
      </c>
      <c r="R137">
        <f t="shared" si="42"/>
        <v>0</v>
      </c>
      <c r="T137" s="38">
        <f t="shared" si="43"/>
        <v>7</v>
      </c>
      <c r="U137" s="44">
        <f t="shared" si="44"/>
        <v>61</v>
      </c>
      <c r="W137" t="str">
        <f t="shared" si="39"/>
        <v>Upper West Side61</v>
      </c>
    </row>
    <row r="138" spans="1:23">
      <c r="A138" s="38">
        <f t="shared" si="40"/>
        <v>6</v>
      </c>
      <c r="B138" s="38" t="str">
        <f t="shared" si="38"/>
        <v>Upper West Side6</v>
      </c>
      <c r="C138" s="38">
        <f ca="1">IF(F138='Inputs and Outputs'!$H$11,1,IF(F138='Inputs and Outputs'!$H$17,2,IF(F138='Inputs and Outputs'!$H$23,3,0)))</f>
        <v>0</v>
      </c>
      <c r="D138" s="38" t="b">
        <f t="shared" ca="1" si="41"/>
        <v>0</v>
      </c>
      <c r="E138">
        <f>'Apartment Listings'!B138</f>
        <v>135</v>
      </c>
      <c r="F138" s="33" t="str">
        <f>'Apartment Listings'!C138</f>
        <v>Upper West Side</v>
      </c>
      <c r="G138" s="33">
        <f>VLOOKUP(E138,'Apartment Listings'!B138:N287,13,0)</f>
        <v>98874</v>
      </c>
      <c r="H138" t="str">
        <f>IF(AND('Apartment Listings'!D138&gt;'Financial Worksheet'!$H$5,'Apartment Listings'!D138&lt;'Financial Worksheet'!$H$4),"Y","N")</f>
        <v>Y</v>
      </c>
      <c r="I138">
        <f>IF('Inputs and Outputs'!$I$8='Apartment Listings'!D138,'Apartment Scores'!$I$1,0)</f>
        <v>0</v>
      </c>
      <c r="J138">
        <f>IF('Apartment Listings'!F138&gt;='Inputs and Outputs'!$D$36,1,0)</f>
        <v>0</v>
      </c>
      <c r="K138">
        <f>IF('Apartment Listings'!G138&gt;='Inputs and Outputs'!$D$37,1,0)</f>
        <v>1</v>
      </c>
      <c r="L138">
        <f>IF('Apartment Listings'!H138='Inputs and Outputs'!$D$38,1,0)</f>
        <v>0</v>
      </c>
      <c r="M138">
        <f>IF('Apartment Listings'!I138='Inputs and Outputs'!$D$39,1,0)</f>
        <v>1</v>
      </c>
      <c r="N138">
        <f>IF('Apartment Listings'!J138='Inputs and Outputs'!$D$40,1,0)</f>
        <v>1</v>
      </c>
      <c r="O138">
        <f>IF('Apartment Listings'!K138='Inputs and Outputs'!$D$41,1,0)</f>
        <v>0</v>
      </c>
      <c r="P138">
        <f>IF('Apartment Listings'!L138='Inputs and Outputs'!$D$42,1,0)</f>
        <v>0</v>
      </c>
      <c r="Q138">
        <f>IF('Apartment Listings'!M138='Inputs and Outputs'!$D$43,1,0)</f>
        <v>0</v>
      </c>
      <c r="R138">
        <f t="shared" si="42"/>
        <v>0</v>
      </c>
      <c r="T138" s="38">
        <f t="shared" si="43"/>
        <v>7</v>
      </c>
      <c r="U138" s="44">
        <f t="shared" si="44"/>
        <v>61</v>
      </c>
      <c r="W138" t="str">
        <f t="shared" si="39"/>
        <v>Upper West Side61</v>
      </c>
    </row>
    <row r="139" spans="1:23">
      <c r="A139" s="38">
        <f t="shared" si="40"/>
        <v>7</v>
      </c>
      <c r="B139" s="38" t="str">
        <f t="shared" si="38"/>
        <v>Upper West Side7</v>
      </c>
      <c r="C139" s="38">
        <f ca="1">IF(F139='Inputs and Outputs'!$H$11,1,IF(F139='Inputs and Outputs'!$H$17,2,IF(F139='Inputs and Outputs'!$H$23,3,0)))</f>
        <v>0</v>
      </c>
      <c r="D139" s="38" t="b">
        <f t="shared" ca="1" si="41"/>
        <v>0</v>
      </c>
      <c r="E139">
        <f>'Apartment Listings'!B139</f>
        <v>136</v>
      </c>
      <c r="F139" s="33" t="str">
        <f>'Apartment Listings'!C139</f>
        <v>Upper West Side</v>
      </c>
      <c r="G139" s="33">
        <f>VLOOKUP(E139,'Apartment Listings'!B139:N288,13,0)</f>
        <v>45790</v>
      </c>
      <c r="H139" t="str">
        <f>IF(AND('Apartment Listings'!D139&gt;'Financial Worksheet'!$H$5,'Apartment Listings'!D139&lt;'Financial Worksheet'!$H$4),"Y","N")</f>
        <v>Y</v>
      </c>
      <c r="I139">
        <f>IF('Inputs and Outputs'!$I$8='Apartment Listings'!D139,'Apartment Scores'!$I$1,0)</f>
        <v>0</v>
      </c>
      <c r="J139">
        <f>IF('Apartment Listings'!F139&gt;='Inputs and Outputs'!$D$36,1,0)</f>
        <v>0</v>
      </c>
      <c r="K139">
        <f>IF('Apartment Listings'!G139&gt;='Inputs and Outputs'!$D$37,1,0)</f>
        <v>1</v>
      </c>
      <c r="L139">
        <f>IF('Apartment Listings'!H139='Inputs and Outputs'!$D$38,1,0)</f>
        <v>0</v>
      </c>
      <c r="M139">
        <f>IF('Apartment Listings'!I139='Inputs and Outputs'!$D$39,1,0)</f>
        <v>1</v>
      </c>
      <c r="N139">
        <f>IF('Apartment Listings'!J139='Inputs and Outputs'!$D$40,1,0)</f>
        <v>1</v>
      </c>
      <c r="O139">
        <f>IF('Apartment Listings'!K139='Inputs and Outputs'!$D$41,1,0)</f>
        <v>1</v>
      </c>
      <c r="P139">
        <f>IF('Apartment Listings'!L139='Inputs and Outputs'!$D$42,1,0)</f>
        <v>1</v>
      </c>
      <c r="Q139">
        <f>IF('Apartment Listings'!M139='Inputs and Outputs'!$D$43,1,0)</f>
        <v>0</v>
      </c>
      <c r="R139">
        <f t="shared" si="42"/>
        <v>0</v>
      </c>
      <c r="T139" s="38">
        <f t="shared" si="43"/>
        <v>9</v>
      </c>
      <c r="U139" s="44">
        <f t="shared" si="44"/>
        <v>27</v>
      </c>
      <c r="W139" t="str">
        <f t="shared" si="39"/>
        <v>Upper West Side27</v>
      </c>
    </row>
    <row r="140" spans="1:23">
      <c r="A140" s="38">
        <f t="shared" si="40"/>
        <v>1</v>
      </c>
      <c r="B140" s="38" t="str">
        <f t="shared" si="38"/>
        <v>Central Harlem1</v>
      </c>
      <c r="C140" s="38">
        <f ca="1">IF(F140='Inputs and Outputs'!$H$11,1,IF(F140='Inputs and Outputs'!$H$17,2,IF(F140='Inputs and Outputs'!$H$23,3,0)))</f>
        <v>0</v>
      </c>
      <c r="D140" s="38" t="b">
        <f t="shared" ca="1" si="41"/>
        <v>0</v>
      </c>
      <c r="E140">
        <f>'Apartment Listings'!B140</f>
        <v>137</v>
      </c>
      <c r="F140" s="33" t="str">
        <f>'Apartment Listings'!C140</f>
        <v>Central Harlem</v>
      </c>
      <c r="G140" s="33">
        <f>VLOOKUP(E140,'Apartment Listings'!B140:N289,13,0)</f>
        <v>33941</v>
      </c>
      <c r="H140" t="str">
        <f>IF(AND('Apartment Listings'!D140&gt;'Financial Worksheet'!$H$5,'Apartment Listings'!D140&lt;'Financial Worksheet'!$H$4),"Y","N")</f>
        <v>Y</v>
      </c>
      <c r="I140">
        <f>IF('Inputs and Outputs'!$I$8='Apartment Listings'!D140,'Apartment Scores'!$I$1,0)</f>
        <v>0</v>
      </c>
      <c r="J140">
        <f>IF('Apartment Listings'!F140&gt;='Inputs and Outputs'!$D$36,1,0)</f>
        <v>0</v>
      </c>
      <c r="K140">
        <f>IF('Apartment Listings'!G140&gt;='Inputs and Outputs'!$D$37,1,0)</f>
        <v>1</v>
      </c>
      <c r="L140">
        <f>IF('Apartment Listings'!H140='Inputs and Outputs'!$D$38,1,0)</f>
        <v>0</v>
      </c>
      <c r="M140">
        <f>IF('Apartment Listings'!I140='Inputs and Outputs'!$D$39,1,0)</f>
        <v>1</v>
      </c>
      <c r="N140">
        <f>IF('Apartment Listings'!J140='Inputs and Outputs'!$D$40,1,0)</f>
        <v>1</v>
      </c>
      <c r="O140">
        <f>IF('Apartment Listings'!K140='Inputs and Outputs'!$D$41,1,0)</f>
        <v>0</v>
      </c>
      <c r="P140">
        <f>IF('Apartment Listings'!L140='Inputs and Outputs'!$D$42,1,0)</f>
        <v>1</v>
      </c>
      <c r="Q140">
        <f>IF('Apartment Listings'!M140='Inputs and Outputs'!$D$43,1,0)</f>
        <v>0</v>
      </c>
      <c r="R140">
        <f t="shared" si="42"/>
        <v>0</v>
      </c>
      <c r="T140" s="38">
        <f t="shared" si="43"/>
        <v>8</v>
      </c>
      <c r="U140" s="44">
        <f t="shared" si="44"/>
        <v>48</v>
      </c>
      <c r="W140" t="str">
        <f t="shared" si="39"/>
        <v>Central Harlem48</v>
      </c>
    </row>
    <row r="141" spans="1:23">
      <c r="A141" s="38">
        <f t="shared" si="40"/>
        <v>2</v>
      </c>
      <c r="B141" s="38" t="str">
        <f t="shared" si="38"/>
        <v>Central Harlem2</v>
      </c>
      <c r="C141" s="38">
        <f ca="1">IF(F141='Inputs and Outputs'!$H$11,1,IF(F141='Inputs and Outputs'!$H$17,2,IF(F141='Inputs and Outputs'!$H$23,3,0)))</f>
        <v>0</v>
      </c>
      <c r="D141" s="38" t="b">
        <f t="shared" ca="1" si="41"/>
        <v>0</v>
      </c>
      <c r="E141">
        <f>'Apartment Listings'!B141</f>
        <v>138</v>
      </c>
      <c r="F141" s="33" t="str">
        <f>'Apartment Listings'!C141</f>
        <v>Central Harlem</v>
      </c>
      <c r="G141" s="33">
        <f>VLOOKUP(E141,'Apartment Listings'!B141:N290,13,0)</f>
        <v>18550</v>
      </c>
      <c r="H141" t="str">
        <f>IF(AND('Apartment Listings'!D141&gt;'Financial Worksheet'!$H$5,'Apartment Listings'!D141&lt;'Financial Worksheet'!$H$4),"Y","N")</f>
        <v>N</v>
      </c>
      <c r="I141">
        <f>IF('Inputs and Outputs'!$I$8='Apartment Listings'!D141,'Apartment Scores'!$I$1,0)</f>
        <v>0</v>
      </c>
      <c r="J141">
        <f>IF('Apartment Listings'!F141&gt;='Inputs and Outputs'!$D$36,1,0)</f>
        <v>0</v>
      </c>
      <c r="K141">
        <f>IF('Apartment Listings'!G141&gt;='Inputs and Outputs'!$D$37,1,0)</f>
        <v>1</v>
      </c>
      <c r="L141">
        <f>IF('Apartment Listings'!H141='Inputs and Outputs'!$D$38,1,0)</f>
        <v>0</v>
      </c>
      <c r="M141">
        <f>IF('Apartment Listings'!I141='Inputs and Outputs'!$D$39,1,0)</f>
        <v>0</v>
      </c>
      <c r="N141">
        <f>IF('Apartment Listings'!J141='Inputs and Outputs'!$D$40,1,0)</f>
        <v>0</v>
      </c>
      <c r="O141">
        <f>IF('Apartment Listings'!K141='Inputs and Outputs'!$D$41,1,0)</f>
        <v>0</v>
      </c>
      <c r="P141">
        <f>IF('Apartment Listings'!L141='Inputs and Outputs'!$D$42,1,0)</f>
        <v>1</v>
      </c>
      <c r="Q141">
        <f>IF('Apartment Listings'!M141='Inputs and Outputs'!$D$43,1,0)</f>
        <v>0</v>
      </c>
      <c r="R141">
        <f t="shared" si="42"/>
        <v>0</v>
      </c>
      <c r="T141" s="38">
        <f t="shared" si="43"/>
        <v>-1</v>
      </c>
      <c r="U141" s="44">
        <f t="shared" si="44"/>
        <v>143</v>
      </c>
      <c r="W141" t="str">
        <f t="shared" si="39"/>
        <v>Central Harlem143</v>
      </c>
    </row>
    <row r="142" spans="1:23">
      <c r="A142" s="38">
        <f t="shared" si="40"/>
        <v>1</v>
      </c>
      <c r="B142" s="38" t="str">
        <f t="shared" si="38"/>
        <v>East Harlem1</v>
      </c>
      <c r="C142" s="38">
        <f ca="1">IF(F142='Inputs and Outputs'!$H$11,1,IF(F142='Inputs and Outputs'!$H$17,2,IF(F142='Inputs and Outputs'!$H$23,3,0)))</f>
        <v>0</v>
      </c>
      <c r="D142" s="38" t="b">
        <f t="shared" ca="1" si="41"/>
        <v>0</v>
      </c>
      <c r="E142">
        <f>'Apartment Listings'!B142</f>
        <v>139</v>
      </c>
      <c r="F142" s="33" t="str">
        <f>'Apartment Listings'!C142</f>
        <v>East Harlem</v>
      </c>
      <c r="G142" s="33">
        <f>VLOOKUP(E142,'Apartment Listings'!B142:N291,13,0)</f>
        <v>12990</v>
      </c>
      <c r="H142" t="str">
        <f>IF(AND('Apartment Listings'!D142&gt;'Financial Worksheet'!$H$5,'Apartment Listings'!D142&lt;'Financial Worksheet'!$H$4),"Y","N")</f>
        <v>Y</v>
      </c>
      <c r="I142">
        <f>IF('Inputs and Outputs'!$I$8='Apartment Listings'!D142,'Apartment Scores'!$I$1,0)</f>
        <v>0</v>
      </c>
      <c r="J142">
        <f>IF('Apartment Listings'!F142&gt;='Inputs and Outputs'!$D$36,1,0)</f>
        <v>1</v>
      </c>
      <c r="K142">
        <f>IF('Apartment Listings'!G142&gt;='Inputs and Outputs'!$D$37,1,0)</f>
        <v>1</v>
      </c>
      <c r="L142">
        <f>IF('Apartment Listings'!H142='Inputs and Outputs'!$D$38,1,0)</f>
        <v>1</v>
      </c>
      <c r="M142">
        <f>IF('Apartment Listings'!I142='Inputs and Outputs'!$D$39,1,0)</f>
        <v>0</v>
      </c>
      <c r="N142">
        <f>IF('Apartment Listings'!J142='Inputs and Outputs'!$D$40,1,0)</f>
        <v>0</v>
      </c>
      <c r="O142">
        <f>IF('Apartment Listings'!K142='Inputs and Outputs'!$D$41,1,0)</f>
        <v>0</v>
      </c>
      <c r="P142">
        <f>IF('Apartment Listings'!L142='Inputs and Outputs'!$D$42,1,0)</f>
        <v>0</v>
      </c>
      <c r="Q142">
        <f>IF('Apartment Listings'!M142='Inputs and Outputs'!$D$43,1,0)</f>
        <v>0</v>
      </c>
      <c r="R142">
        <f t="shared" si="42"/>
        <v>0</v>
      </c>
      <c r="T142" s="38">
        <f t="shared" si="43"/>
        <v>7</v>
      </c>
      <c r="U142" s="44">
        <f t="shared" si="44"/>
        <v>61</v>
      </c>
      <c r="W142" t="str">
        <f t="shared" si="39"/>
        <v>East Harlem61</v>
      </c>
    </row>
    <row r="143" spans="1:23">
      <c r="A143" s="38">
        <f t="shared" si="40"/>
        <v>2</v>
      </c>
      <c r="B143" s="38" t="str">
        <f t="shared" si="38"/>
        <v>East Harlem2</v>
      </c>
      <c r="C143" s="38">
        <f ca="1">IF(F143='Inputs and Outputs'!$H$11,1,IF(F143='Inputs and Outputs'!$H$17,2,IF(F143='Inputs and Outputs'!$H$23,3,0)))</f>
        <v>0</v>
      </c>
      <c r="D143" s="38" t="b">
        <f t="shared" ca="1" si="41"/>
        <v>0</v>
      </c>
      <c r="E143">
        <f>'Apartment Listings'!B143</f>
        <v>140</v>
      </c>
      <c r="F143" s="33" t="str">
        <f>'Apartment Listings'!C143</f>
        <v>East Harlem</v>
      </c>
      <c r="G143" s="33">
        <f>VLOOKUP(E143,'Apartment Listings'!B143:N292,13,0)</f>
        <v>15556</v>
      </c>
      <c r="H143" t="str">
        <f>IF(AND('Apartment Listings'!D143&gt;'Financial Worksheet'!$H$5,'Apartment Listings'!D143&lt;'Financial Worksheet'!$H$4),"Y","N")</f>
        <v>Y</v>
      </c>
      <c r="I143">
        <f>IF('Inputs and Outputs'!$I$8='Apartment Listings'!D143,'Apartment Scores'!$I$1,0)</f>
        <v>0</v>
      </c>
      <c r="J143">
        <f>IF('Apartment Listings'!F143&gt;='Inputs and Outputs'!$D$36,1,0)</f>
        <v>0</v>
      </c>
      <c r="K143">
        <f>IF('Apartment Listings'!G143&gt;='Inputs and Outputs'!$D$37,1,0)</f>
        <v>1</v>
      </c>
      <c r="L143">
        <f>IF('Apartment Listings'!H143='Inputs and Outputs'!$D$38,1,0)</f>
        <v>0</v>
      </c>
      <c r="M143">
        <f>IF('Apartment Listings'!I143='Inputs and Outputs'!$D$39,1,0)</f>
        <v>1</v>
      </c>
      <c r="N143">
        <f>IF('Apartment Listings'!J143='Inputs and Outputs'!$D$40,1,0)</f>
        <v>1</v>
      </c>
      <c r="O143">
        <f>IF('Apartment Listings'!K143='Inputs and Outputs'!$D$41,1,0)</f>
        <v>1</v>
      </c>
      <c r="P143">
        <f>IF('Apartment Listings'!L143='Inputs and Outputs'!$D$42,1,0)</f>
        <v>1</v>
      </c>
      <c r="Q143">
        <f>IF('Apartment Listings'!M143='Inputs and Outputs'!$D$43,1,0)</f>
        <v>0</v>
      </c>
      <c r="R143">
        <f t="shared" si="42"/>
        <v>0</v>
      </c>
      <c r="T143" s="38">
        <f t="shared" si="43"/>
        <v>9</v>
      </c>
      <c r="U143" s="44">
        <f t="shared" si="44"/>
        <v>27</v>
      </c>
      <c r="W143" t="str">
        <f t="shared" si="39"/>
        <v>East Harlem27</v>
      </c>
    </row>
    <row r="144" spans="1:23">
      <c r="A144" s="38">
        <f t="shared" si="40"/>
        <v>1</v>
      </c>
      <c r="B144" s="38" t="str">
        <f t="shared" si="38"/>
        <v>Hamilton Heights1</v>
      </c>
      <c r="C144" s="38">
        <f ca="1">IF(F144='Inputs and Outputs'!$H$11,1,IF(F144='Inputs and Outputs'!$H$17,2,IF(F144='Inputs and Outputs'!$H$23,3,0)))</f>
        <v>0</v>
      </c>
      <c r="D144" s="38" t="b">
        <f t="shared" ca="1" si="41"/>
        <v>0</v>
      </c>
      <c r="E144">
        <f>'Apartment Listings'!B144</f>
        <v>141</v>
      </c>
      <c r="F144" s="33" t="str">
        <f>'Apartment Listings'!C144</f>
        <v>Hamilton Heights</v>
      </c>
      <c r="G144" s="33">
        <f>VLOOKUP(E144,'Apartment Listings'!B144:N293,13,0)</f>
        <v>83514</v>
      </c>
      <c r="H144" t="str">
        <f>IF(AND('Apartment Listings'!D144&gt;'Financial Worksheet'!$H$5,'Apartment Listings'!D144&lt;'Financial Worksheet'!$H$4),"Y","N")</f>
        <v>N</v>
      </c>
      <c r="I144">
        <f>IF('Inputs and Outputs'!$I$8='Apartment Listings'!D144,'Apartment Scores'!$I$1,0)</f>
        <v>0</v>
      </c>
      <c r="J144">
        <f>IF('Apartment Listings'!F144&gt;='Inputs and Outputs'!$D$36,1,0)</f>
        <v>0</v>
      </c>
      <c r="K144">
        <f>IF('Apartment Listings'!G144&gt;='Inputs and Outputs'!$D$37,1,0)</f>
        <v>1</v>
      </c>
      <c r="L144">
        <f>IF('Apartment Listings'!H144='Inputs and Outputs'!$D$38,1,0)</f>
        <v>0</v>
      </c>
      <c r="M144">
        <f>IF('Apartment Listings'!I144='Inputs and Outputs'!$D$39,1,0)</f>
        <v>1</v>
      </c>
      <c r="N144">
        <f>IF('Apartment Listings'!J144='Inputs and Outputs'!$D$40,1,0)</f>
        <v>0</v>
      </c>
      <c r="O144">
        <f>IF('Apartment Listings'!K144='Inputs and Outputs'!$D$41,1,0)</f>
        <v>0</v>
      </c>
      <c r="P144">
        <f>IF('Apartment Listings'!L144='Inputs and Outputs'!$D$42,1,0)</f>
        <v>1</v>
      </c>
      <c r="Q144">
        <f>IF('Apartment Listings'!M144='Inputs and Outputs'!$D$43,1,0)</f>
        <v>0</v>
      </c>
      <c r="R144">
        <f t="shared" si="42"/>
        <v>0</v>
      </c>
      <c r="T144" s="38">
        <f t="shared" si="43"/>
        <v>0</v>
      </c>
      <c r="U144" s="44">
        <f t="shared" si="44"/>
        <v>131</v>
      </c>
      <c r="W144" t="str">
        <f t="shared" si="39"/>
        <v>Hamilton Heights131</v>
      </c>
    </row>
    <row r="145" spans="1:23">
      <c r="A145" s="38">
        <f t="shared" si="40"/>
        <v>2</v>
      </c>
      <c r="B145" s="38" t="str">
        <f t="shared" si="38"/>
        <v>Hamilton Heights2</v>
      </c>
      <c r="C145" s="38">
        <f ca="1">IF(F145='Inputs and Outputs'!$H$11,1,IF(F145='Inputs and Outputs'!$H$17,2,IF(F145='Inputs and Outputs'!$H$23,3,0)))</f>
        <v>0</v>
      </c>
      <c r="D145" s="38" t="b">
        <f t="shared" ca="1" si="41"/>
        <v>0</v>
      </c>
      <c r="E145">
        <f>'Apartment Listings'!B145</f>
        <v>142</v>
      </c>
      <c r="F145" s="33" t="str">
        <f>'Apartment Listings'!C145</f>
        <v>Hamilton Heights</v>
      </c>
      <c r="G145" s="33">
        <f>VLOOKUP(E145,'Apartment Listings'!B145:N294,13,0)</f>
        <v>60292</v>
      </c>
      <c r="H145" t="str">
        <f>IF(AND('Apartment Listings'!D145&gt;'Financial Worksheet'!$H$5,'Apartment Listings'!D145&lt;'Financial Worksheet'!$H$4),"Y","N")</f>
        <v>N</v>
      </c>
      <c r="I145">
        <f>IF('Inputs and Outputs'!$I$8='Apartment Listings'!D145,'Apartment Scores'!$I$1,0)</f>
        <v>0</v>
      </c>
      <c r="J145">
        <f>IF('Apartment Listings'!F145&gt;='Inputs and Outputs'!$D$36,1,0)</f>
        <v>0</v>
      </c>
      <c r="K145">
        <f>IF('Apartment Listings'!G145&gt;='Inputs and Outputs'!$D$37,1,0)</f>
        <v>1</v>
      </c>
      <c r="L145">
        <f>IF('Apartment Listings'!H145='Inputs and Outputs'!$D$38,1,0)</f>
        <v>0</v>
      </c>
      <c r="M145">
        <f>IF('Apartment Listings'!I145='Inputs and Outputs'!$D$39,1,0)</f>
        <v>1</v>
      </c>
      <c r="N145">
        <f>IF('Apartment Listings'!J145='Inputs and Outputs'!$D$40,1,0)</f>
        <v>1</v>
      </c>
      <c r="O145">
        <f>IF('Apartment Listings'!K145='Inputs and Outputs'!$D$41,1,0)</f>
        <v>0</v>
      </c>
      <c r="P145">
        <f>IF('Apartment Listings'!L145='Inputs and Outputs'!$D$42,1,0)</f>
        <v>1</v>
      </c>
      <c r="Q145">
        <f>IF('Apartment Listings'!M145='Inputs and Outputs'!$D$43,1,0)</f>
        <v>0</v>
      </c>
      <c r="R145">
        <f t="shared" si="42"/>
        <v>0</v>
      </c>
      <c r="T145" s="38">
        <f t="shared" si="43"/>
        <v>1</v>
      </c>
      <c r="U145" s="44">
        <f t="shared" si="44"/>
        <v>123</v>
      </c>
      <c r="W145" t="str">
        <f t="shared" si="39"/>
        <v>Hamilton Heights123</v>
      </c>
    </row>
    <row r="146" spans="1:23">
      <c r="A146" s="38">
        <f t="shared" si="40"/>
        <v>1</v>
      </c>
      <c r="B146" s="38" t="str">
        <f t="shared" si="38"/>
        <v>Inwood1</v>
      </c>
      <c r="C146" s="38">
        <f ca="1">IF(F146='Inputs and Outputs'!$H$11,1,IF(F146='Inputs and Outputs'!$H$17,2,IF(F146='Inputs and Outputs'!$H$23,3,0)))</f>
        <v>0</v>
      </c>
      <c r="D146" s="38" t="b">
        <f t="shared" ca="1" si="41"/>
        <v>0</v>
      </c>
      <c r="E146">
        <f>'Apartment Listings'!B146</f>
        <v>143</v>
      </c>
      <c r="F146" s="33" t="str">
        <f>'Apartment Listings'!C146</f>
        <v>Inwood</v>
      </c>
      <c r="G146" s="33">
        <f>VLOOKUP(E146,'Apartment Listings'!B146:N295,13,0)</f>
        <v>66260</v>
      </c>
      <c r="H146" t="str">
        <f>IF(AND('Apartment Listings'!D146&gt;'Financial Worksheet'!$H$5,'Apartment Listings'!D146&lt;'Financial Worksheet'!$H$4),"Y","N")</f>
        <v>N</v>
      </c>
      <c r="I146">
        <f>IF('Inputs and Outputs'!$I$8='Apartment Listings'!D146,'Apartment Scores'!$I$1,0)</f>
        <v>0</v>
      </c>
      <c r="J146">
        <f>IF('Apartment Listings'!F146&gt;='Inputs and Outputs'!$D$36,1,0)</f>
        <v>0</v>
      </c>
      <c r="K146">
        <f>IF('Apartment Listings'!G146&gt;='Inputs and Outputs'!$D$37,1,0)</f>
        <v>1</v>
      </c>
      <c r="L146">
        <f>IF('Apartment Listings'!H146='Inputs and Outputs'!$D$38,1,0)</f>
        <v>0</v>
      </c>
      <c r="M146">
        <f>IF('Apartment Listings'!I146='Inputs and Outputs'!$D$39,1,0)</f>
        <v>1</v>
      </c>
      <c r="N146">
        <f>IF('Apartment Listings'!J146='Inputs and Outputs'!$D$40,1,0)</f>
        <v>0</v>
      </c>
      <c r="O146">
        <f>IF('Apartment Listings'!K146='Inputs and Outputs'!$D$41,1,0)</f>
        <v>0</v>
      </c>
      <c r="P146">
        <f>IF('Apartment Listings'!L146='Inputs and Outputs'!$D$42,1,0)</f>
        <v>1</v>
      </c>
      <c r="Q146">
        <f>IF('Apartment Listings'!M146='Inputs and Outputs'!$D$43,1,0)</f>
        <v>0</v>
      </c>
      <c r="R146">
        <f t="shared" si="42"/>
        <v>0</v>
      </c>
      <c r="T146" s="38">
        <f t="shared" si="43"/>
        <v>0</v>
      </c>
      <c r="U146" s="44">
        <f t="shared" si="44"/>
        <v>131</v>
      </c>
      <c r="W146" t="str">
        <f t="shared" si="39"/>
        <v>Inwood131</v>
      </c>
    </row>
    <row r="147" spans="1:23">
      <c r="A147" s="38">
        <f t="shared" si="40"/>
        <v>2</v>
      </c>
      <c r="B147" s="38" t="str">
        <f t="shared" si="38"/>
        <v>Inwood2</v>
      </c>
      <c r="C147" s="38">
        <f ca="1">IF(F147='Inputs and Outputs'!$H$11,1,IF(F147='Inputs and Outputs'!$H$17,2,IF(F147='Inputs and Outputs'!$H$23,3,0)))</f>
        <v>0</v>
      </c>
      <c r="D147" s="38" t="b">
        <f t="shared" ca="1" si="41"/>
        <v>0</v>
      </c>
      <c r="E147">
        <f>'Apartment Listings'!B147</f>
        <v>144</v>
      </c>
      <c r="F147" s="33" t="str">
        <f>'Apartment Listings'!C147</f>
        <v>Inwood</v>
      </c>
      <c r="G147" s="33">
        <f>VLOOKUP(E147,'Apartment Listings'!B147:N296,13,0)</f>
        <v>98114</v>
      </c>
      <c r="H147" t="str">
        <f>IF(AND('Apartment Listings'!D147&gt;'Financial Worksheet'!$H$5,'Apartment Listings'!D147&lt;'Financial Worksheet'!$H$4),"Y","N")</f>
        <v>N</v>
      </c>
      <c r="I147">
        <f>IF('Inputs and Outputs'!$I$8='Apartment Listings'!D147,'Apartment Scores'!$I$1,0)</f>
        <v>0</v>
      </c>
      <c r="J147">
        <f>IF('Apartment Listings'!F147&gt;='Inputs and Outputs'!$D$36,1,0)</f>
        <v>0</v>
      </c>
      <c r="K147">
        <f>IF('Apartment Listings'!G147&gt;='Inputs and Outputs'!$D$37,1,0)</f>
        <v>1</v>
      </c>
      <c r="L147">
        <f>IF('Apartment Listings'!H147='Inputs and Outputs'!$D$38,1,0)</f>
        <v>0</v>
      </c>
      <c r="M147">
        <f>IF('Apartment Listings'!I147='Inputs and Outputs'!$D$39,1,0)</f>
        <v>1</v>
      </c>
      <c r="N147">
        <f>IF('Apartment Listings'!J147='Inputs and Outputs'!$D$40,1,0)</f>
        <v>1</v>
      </c>
      <c r="O147">
        <f>IF('Apartment Listings'!K147='Inputs and Outputs'!$D$41,1,0)</f>
        <v>1</v>
      </c>
      <c r="P147">
        <f>IF('Apartment Listings'!L147='Inputs and Outputs'!$D$42,1,0)</f>
        <v>1</v>
      </c>
      <c r="Q147">
        <f>IF('Apartment Listings'!M147='Inputs and Outputs'!$D$43,1,0)</f>
        <v>1</v>
      </c>
      <c r="R147">
        <f t="shared" si="42"/>
        <v>0</v>
      </c>
      <c r="T147" s="38">
        <f t="shared" si="43"/>
        <v>3</v>
      </c>
      <c r="U147" s="44">
        <f t="shared" si="44"/>
        <v>107</v>
      </c>
      <c r="W147" t="str">
        <f t="shared" si="39"/>
        <v>Inwood107</v>
      </c>
    </row>
    <row r="148" spans="1:23">
      <c r="A148" s="38">
        <f t="shared" si="40"/>
        <v>1</v>
      </c>
      <c r="B148" s="38" t="str">
        <f t="shared" si="38"/>
        <v>Morningside Heights1</v>
      </c>
      <c r="C148" s="38">
        <f ca="1">IF(F148='Inputs and Outputs'!$H$11,1,IF(F148='Inputs and Outputs'!$H$17,2,IF(F148='Inputs and Outputs'!$H$23,3,0)))</f>
        <v>0</v>
      </c>
      <c r="D148" s="38" t="b">
        <f t="shared" ca="1" si="41"/>
        <v>0</v>
      </c>
      <c r="E148">
        <f>'Apartment Listings'!B148</f>
        <v>145</v>
      </c>
      <c r="F148" s="33" t="str">
        <f>'Apartment Listings'!C148</f>
        <v>Morningside Heights</v>
      </c>
      <c r="G148" s="33">
        <f>VLOOKUP(E148,'Apartment Listings'!B148:N297,13,0)</f>
        <v>37465</v>
      </c>
      <c r="H148" t="str">
        <f>IF(AND('Apartment Listings'!D148&gt;'Financial Worksheet'!$H$5,'Apartment Listings'!D148&lt;'Financial Worksheet'!$H$4),"Y","N")</f>
        <v>Y</v>
      </c>
      <c r="I148">
        <f>IF('Inputs and Outputs'!$I$8='Apartment Listings'!D148,'Apartment Scores'!$I$1,0)</f>
        <v>0</v>
      </c>
      <c r="J148">
        <f>IF('Apartment Listings'!F148&gt;='Inputs and Outputs'!$D$36,1,0)</f>
        <v>0</v>
      </c>
      <c r="K148">
        <f>IF('Apartment Listings'!G148&gt;='Inputs and Outputs'!$D$37,1,0)</f>
        <v>1</v>
      </c>
      <c r="L148">
        <f>IF('Apartment Listings'!H148='Inputs and Outputs'!$D$38,1,0)</f>
        <v>1</v>
      </c>
      <c r="M148">
        <f>IF('Apartment Listings'!I148='Inputs and Outputs'!$D$39,1,0)</f>
        <v>0</v>
      </c>
      <c r="N148">
        <f>IF('Apartment Listings'!J148='Inputs and Outputs'!$D$40,1,0)</f>
        <v>0</v>
      </c>
      <c r="O148">
        <f>IF('Apartment Listings'!K148='Inputs and Outputs'!$D$41,1,0)</f>
        <v>0</v>
      </c>
      <c r="P148">
        <f>IF('Apartment Listings'!L148='Inputs and Outputs'!$D$42,1,0)</f>
        <v>1</v>
      </c>
      <c r="Q148">
        <f>IF('Apartment Listings'!M148='Inputs and Outputs'!$D$43,1,0)</f>
        <v>0</v>
      </c>
      <c r="R148">
        <f t="shared" si="42"/>
        <v>0</v>
      </c>
      <c r="T148" s="38">
        <f t="shared" si="43"/>
        <v>7</v>
      </c>
      <c r="U148" s="44">
        <f t="shared" si="44"/>
        <v>61</v>
      </c>
      <c r="W148" t="str">
        <f t="shared" si="39"/>
        <v>Morningside Heights61</v>
      </c>
    </row>
    <row r="149" spans="1:23">
      <c r="A149" s="38">
        <f t="shared" si="40"/>
        <v>2</v>
      </c>
      <c r="B149" s="38" t="str">
        <f t="shared" si="38"/>
        <v>Morningside Heights2</v>
      </c>
      <c r="C149" s="38">
        <f ca="1">IF(F149='Inputs and Outputs'!$H$11,1,IF(F149='Inputs and Outputs'!$H$17,2,IF(F149='Inputs and Outputs'!$H$23,3,0)))</f>
        <v>0</v>
      </c>
      <c r="D149" s="38" t="b">
        <f t="shared" ca="1" si="41"/>
        <v>0</v>
      </c>
      <c r="E149">
        <f>'Apartment Listings'!B149</f>
        <v>146</v>
      </c>
      <c r="F149" s="33" t="str">
        <f>'Apartment Listings'!C149</f>
        <v>Morningside Heights</v>
      </c>
      <c r="G149" s="33">
        <f>VLOOKUP(E149,'Apartment Listings'!B149:N298,13,0)</f>
        <v>78558</v>
      </c>
      <c r="H149" t="str">
        <f>IF(AND('Apartment Listings'!D149&gt;'Financial Worksheet'!$H$5,'Apartment Listings'!D149&lt;'Financial Worksheet'!$H$4),"Y","N")</f>
        <v>Y</v>
      </c>
      <c r="I149">
        <f>IF('Inputs and Outputs'!$I$8='Apartment Listings'!D149,'Apartment Scores'!$I$1,0)</f>
        <v>0</v>
      </c>
      <c r="J149">
        <f>IF('Apartment Listings'!F149&gt;='Inputs and Outputs'!$D$36,1,0)</f>
        <v>0</v>
      </c>
      <c r="K149">
        <f>IF('Apartment Listings'!G149&gt;='Inputs and Outputs'!$D$37,1,0)</f>
        <v>1</v>
      </c>
      <c r="L149">
        <f>IF('Apartment Listings'!H149='Inputs and Outputs'!$D$38,1,0)</f>
        <v>0</v>
      </c>
      <c r="M149">
        <f>IF('Apartment Listings'!I149='Inputs and Outputs'!$D$39,1,0)</f>
        <v>1</v>
      </c>
      <c r="N149">
        <f>IF('Apartment Listings'!J149='Inputs and Outputs'!$D$40,1,0)</f>
        <v>1</v>
      </c>
      <c r="O149">
        <f>IF('Apartment Listings'!K149='Inputs and Outputs'!$D$41,1,0)</f>
        <v>0</v>
      </c>
      <c r="P149">
        <f>IF('Apartment Listings'!L149='Inputs and Outputs'!$D$42,1,0)</f>
        <v>1</v>
      </c>
      <c r="Q149">
        <f>IF('Apartment Listings'!M149='Inputs and Outputs'!$D$43,1,0)</f>
        <v>0</v>
      </c>
      <c r="R149">
        <f t="shared" si="42"/>
        <v>0</v>
      </c>
      <c r="T149" s="38">
        <f t="shared" si="43"/>
        <v>8</v>
      </c>
      <c r="U149" s="44">
        <f t="shared" si="44"/>
        <v>48</v>
      </c>
      <c r="W149" t="str">
        <f t="shared" si="39"/>
        <v>Morningside Heights48</v>
      </c>
    </row>
    <row r="150" spans="1:23">
      <c r="A150" s="38">
        <f t="shared" si="40"/>
        <v>1</v>
      </c>
      <c r="B150" s="38" t="str">
        <f t="shared" si="38"/>
        <v>Washington Heights1</v>
      </c>
      <c r="C150" s="38">
        <f ca="1">IF(F150='Inputs and Outputs'!$H$11,1,IF(F150='Inputs and Outputs'!$H$17,2,IF(F150='Inputs and Outputs'!$H$23,3,0)))</f>
        <v>0</v>
      </c>
      <c r="D150" s="38" t="b">
        <f t="shared" ca="1" si="41"/>
        <v>0</v>
      </c>
      <c r="E150">
        <f>'Apartment Listings'!B150</f>
        <v>147</v>
      </c>
      <c r="F150" s="33" t="str">
        <f>'Apartment Listings'!C150</f>
        <v>Washington Heights</v>
      </c>
      <c r="G150" s="33">
        <f>VLOOKUP(E150,'Apartment Listings'!B150:N299,13,0)</f>
        <v>62934</v>
      </c>
      <c r="H150" t="str">
        <f>IF(AND('Apartment Listings'!D150&gt;'Financial Worksheet'!$H$5,'Apartment Listings'!D150&lt;'Financial Worksheet'!$H$4),"Y","N")</f>
        <v>N</v>
      </c>
      <c r="I150">
        <f>IF('Inputs and Outputs'!$I$8='Apartment Listings'!D150,'Apartment Scores'!$I$1,0)</f>
        <v>0</v>
      </c>
      <c r="J150">
        <f>IF('Apartment Listings'!F150&gt;='Inputs and Outputs'!$D$36,1,0)</f>
        <v>0</v>
      </c>
      <c r="K150">
        <f>IF('Apartment Listings'!G150&gt;='Inputs and Outputs'!$D$37,1,0)</f>
        <v>1</v>
      </c>
      <c r="L150">
        <f>IF('Apartment Listings'!H150='Inputs and Outputs'!$D$38,1,0)</f>
        <v>0</v>
      </c>
      <c r="M150">
        <f>IF('Apartment Listings'!I150='Inputs and Outputs'!$D$39,1,0)</f>
        <v>0</v>
      </c>
      <c r="N150">
        <f>IF('Apartment Listings'!J150='Inputs and Outputs'!$D$40,1,0)</f>
        <v>1</v>
      </c>
      <c r="O150">
        <f>IF('Apartment Listings'!K150='Inputs and Outputs'!$D$41,1,0)</f>
        <v>0</v>
      </c>
      <c r="P150">
        <f>IF('Apartment Listings'!L150='Inputs and Outputs'!$D$42,1,0)</f>
        <v>1</v>
      </c>
      <c r="Q150">
        <f>IF('Apartment Listings'!M150='Inputs and Outputs'!$D$43,1,0)</f>
        <v>1</v>
      </c>
      <c r="R150">
        <f t="shared" si="42"/>
        <v>0</v>
      </c>
      <c r="T150" s="38">
        <f t="shared" si="43"/>
        <v>1</v>
      </c>
      <c r="U150" s="44">
        <f t="shared" si="44"/>
        <v>123</v>
      </c>
      <c r="W150" t="str">
        <f t="shared" si="39"/>
        <v>Washington Heights123</v>
      </c>
    </row>
    <row r="151" spans="1:23">
      <c r="A151" s="38">
        <f t="shared" si="40"/>
        <v>2</v>
      </c>
      <c r="B151" s="38" t="str">
        <f t="shared" si="38"/>
        <v>Washington Heights2</v>
      </c>
      <c r="C151" s="38">
        <f ca="1">IF(F151='Inputs and Outputs'!$H$11,1,IF(F151='Inputs and Outputs'!$H$17,2,IF(F151='Inputs and Outputs'!$H$23,3,0)))</f>
        <v>0</v>
      </c>
      <c r="D151" s="38" t="b">
        <f t="shared" ca="1" si="41"/>
        <v>0</v>
      </c>
      <c r="E151">
        <f>'Apartment Listings'!B151</f>
        <v>148</v>
      </c>
      <c r="F151" s="33" t="str">
        <f>'Apartment Listings'!C151</f>
        <v>Washington Heights</v>
      </c>
      <c r="G151" s="33">
        <f>VLOOKUP(E151,'Apartment Listings'!B151:N300,13,0)</f>
        <v>53308</v>
      </c>
      <c r="H151" t="str">
        <f>IF(AND('Apartment Listings'!D151&gt;'Financial Worksheet'!$H$5,'Apartment Listings'!D151&lt;'Financial Worksheet'!$H$4),"Y","N")</f>
        <v>N</v>
      </c>
      <c r="I151">
        <f>IF('Inputs and Outputs'!$I$8='Apartment Listings'!D151,'Apartment Scores'!$I$1,0)</f>
        <v>0</v>
      </c>
      <c r="J151">
        <f>IF('Apartment Listings'!F151&gt;='Inputs and Outputs'!$D$36,1,0)</f>
        <v>0</v>
      </c>
      <c r="K151">
        <f>IF('Apartment Listings'!G151&gt;='Inputs and Outputs'!$D$37,1,0)</f>
        <v>1</v>
      </c>
      <c r="L151">
        <f>IF('Apartment Listings'!H151='Inputs and Outputs'!$D$38,1,0)</f>
        <v>0</v>
      </c>
      <c r="M151">
        <f>IF('Apartment Listings'!I151='Inputs and Outputs'!$D$39,1,0)</f>
        <v>1</v>
      </c>
      <c r="N151">
        <f>IF('Apartment Listings'!J151='Inputs and Outputs'!$D$40,1,0)</f>
        <v>1</v>
      </c>
      <c r="O151">
        <f>IF('Apartment Listings'!K151='Inputs and Outputs'!$D$41,1,0)</f>
        <v>0</v>
      </c>
      <c r="P151">
        <f>IF('Apartment Listings'!L151='Inputs and Outputs'!$D$42,1,0)</f>
        <v>0</v>
      </c>
      <c r="Q151">
        <f>IF('Apartment Listings'!M151='Inputs and Outputs'!$D$43,1,0)</f>
        <v>0</v>
      </c>
      <c r="R151">
        <f t="shared" si="42"/>
        <v>0</v>
      </c>
      <c r="T151" s="38">
        <f t="shared" si="43"/>
        <v>0</v>
      </c>
      <c r="U151" s="44">
        <f t="shared" si="44"/>
        <v>131</v>
      </c>
      <c r="W151" t="str">
        <f t="shared" si="39"/>
        <v>Washington Heights131</v>
      </c>
    </row>
    <row r="152" spans="1:23">
      <c r="A152" s="38">
        <f t="shared" si="40"/>
        <v>1</v>
      </c>
      <c r="B152" s="38" t="str">
        <f t="shared" si="38"/>
        <v>West Harlem1</v>
      </c>
      <c r="C152" s="38">
        <f ca="1">IF(F152='Inputs and Outputs'!$H$11,1,IF(F152='Inputs and Outputs'!$H$17,2,IF(F152='Inputs and Outputs'!$H$23,3,0)))</f>
        <v>0</v>
      </c>
      <c r="D152" s="38" t="b">
        <f t="shared" ca="1" si="41"/>
        <v>0</v>
      </c>
      <c r="E152">
        <f>'Apartment Listings'!B152</f>
        <v>149</v>
      </c>
      <c r="F152" s="33" t="str">
        <f>'Apartment Listings'!C152</f>
        <v>West Harlem</v>
      </c>
      <c r="G152" s="33">
        <f>VLOOKUP(E152,'Apartment Listings'!B152:N301,13,0)</f>
        <v>86647</v>
      </c>
      <c r="H152" t="str">
        <f>IF(AND('Apartment Listings'!D152&gt;'Financial Worksheet'!$H$5,'Apartment Listings'!D152&lt;'Financial Worksheet'!$H$4),"Y","N")</f>
        <v>Y</v>
      </c>
      <c r="I152">
        <f>IF('Inputs and Outputs'!$I$8='Apartment Listings'!D152,'Apartment Scores'!$I$1,0)</f>
        <v>0</v>
      </c>
      <c r="J152">
        <f>IF('Apartment Listings'!F152&gt;='Inputs and Outputs'!$D$36,1,0)</f>
        <v>0</v>
      </c>
      <c r="K152">
        <f>IF('Apartment Listings'!G152&gt;='Inputs and Outputs'!$D$37,1,0)</f>
        <v>1</v>
      </c>
      <c r="L152">
        <f>IF('Apartment Listings'!H152='Inputs and Outputs'!$D$38,1,0)</f>
        <v>0</v>
      </c>
      <c r="M152">
        <f>IF('Apartment Listings'!I152='Inputs and Outputs'!$D$39,1,0)</f>
        <v>1</v>
      </c>
      <c r="N152">
        <f>IF('Apartment Listings'!J152='Inputs and Outputs'!$D$40,1,0)</f>
        <v>0</v>
      </c>
      <c r="O152">
        <f>IF('Apartment Listings'!K152='Inputs and Outputs'!$D$41,1,0)</f>
        <v>0</v>
      </c>
      <c r="P152">
        <f>IF('Apartment Listings'!L152='Inputs and Outputs'!$D$42,1,0)</f>
        <v>1</v>
      </c>
      <c r="Q152">
        <f>IF('Apartment Listings'!M152='Inputs and Outputs'!$D$43,1,0)</f>
        <v>0</v>
      </c>
      <c r="R152">
        <f t="shared" si="42"/>
        <v>0</v>
      </c>
      <c r="T152" s="38">
        <f t="shared" si="43"/>
        <v>7</v>
      </c>
      <c r="U152" s="44">
        <f t="shared" si="44"/>
        <v>61</v>
      </c>
      <c r="W152" t="str">
        <f t="shared" si="39"/>
        <v>West Harlem61</v>
      </c>
    </row>
    <row r="153" spans="1:23">
      <c r="A153" s="38">
        <f t="shared" si="40"/>
        <v>2</v>
      </c>
      <c r="B153" s="38" t="str">
        <f t="shared" si="38"/>
        <v>West Harlem2</v>
      </c>
      <c r="C153" s="38">
        <f ca="1">IF(F153='Inputs and Outputs'!$H$11,1,IF(F153='Inputs and Outputs'!$H$17,2,IF(F153='Inputs and Outputs'!$H$23,3,0)))</f>
        <v>0</v>
      </c>
      <c r="D153" s="38" t="b">
        <f t="shared" ca="1" si="41"/>
        <v>0</v>
      </c>
      <c r="E153">
        <f>'Apartment Listings'!B153</f>
        <v>150</v>
      </c>
      <c r="F153" s="33" t="str">
        <f>'Apartment Listings'!C153</f>
        <v>West Harlem</v>
      </c>
      <c r="G153" s="33">
        <f>VLOOKUP(E153,'Apartment Listings'!B153:N302,13,0)</f>
        <v>50821</v>
      </c>
      <c r="H153" t="str">
        <f>IF(AND('Apartment Listings'!D153&gt;'Financial Worksheet'!$H$5,'Apartment Listings'!D153&lt;'Financial Worksheet'!$H$4),"Y","N")</f>
        <v>Y</v>
      </c>
      <c r="I153">
        <f>IF('Inputs and Outputs'!$I$8='Apartment Listings'!D153,'Apartment Scores'!$I$1,0)</f>
        <v>0</v>
      </c>
      <c r="J153">
        <f>IF('Apartment Listings'!F153&gt;='Inputs and Outputs'!$D$36,1,0)</f>
        <v>0</v>
      </c>
      <c r="K153">
        <f>IF('Apartment Listings'!G153&gt;='Inputs and Outputs'!$D$37,1,0)</f>
        <v>1</v>
      </c>
      <c r="L153">
        <f>IF('Apartment Listings'!H153='Inputs and Outputs'!$D$38,1,0)</f>
        <v>0</v>
      </c>
      <c r="M153">
        <f>IF('Apartment Listings'!I153='Inputs and Outputs'!$D$39,1,0)</f>
        <v>1</v>
      </c>
      <c r="N153">
        <f>IF('Apartment Listings'!J153='Inputs and Outputs'!$D$40,1,0)</f>
        <v>1</v>
      </c>
      <c r="O153">
        <f>IF('Apartment Listings'!K153='Inputs and Outputs'!$D$41,1,0)</f>
        <v>0</v>
      </c>
      <c r="P153">
        <f>IF('Apartment Listings'!L153='Inputs and Outputs'!$D$42,1,0)</f>
        <v>1</v>
      </c>
      <c r="Q153">
        <f>IF('Apartment Listings'!M153='Inputs and Outputs'!$D$43,1,0)</f>
        <v>0</v>
      </c>
      <c r="R153">
        <f t="shared" si="42"/>
        <v>0</v>
      </c>
      <c r="T153" s="38">
        <f t="shared" si="43"/>
        <v>8</v>
      </c>
      <c r="U153" s="44">
        <f t="shared" si="44"/>
        <v>48</v>
      </c>
      <c r="W153" t="str">
        <f t="shared" si="39"/>
        <v>West Harlem48</v>
      </c>
    </row>
    <row r="154" spans="1:23">
      <c r="F154" s="33"/>
      <c r="G154" s="33"/>
    </row>
    <row r="155" spans="1:23">
      <c r="F155" s="33"/>
      <c r="G155" s="33"/>
    </row>
    <row r="156" spans="1:23">
      <c r="F156" s="33"/>
      <c r="G156" s="33"/>
    </row>
    <row r="157" spans="1:23">
      <c r="F157" s="33"/>
      <c r="G157" s="33"/>
    </row>
    <row r="158" spans="1:23">
      <c r="F158" s="33"/>
      <c r="G158" s="33"/>
    </row>
    <row r="159" spans="1:23">
      <c r="F159" s="33"/>
      <c r="G159" s="33"/>
    </row>
    <row r="160" spans="1:23">
      <c r="F160" s="33"/>
      <c r="G160" s="33"/>
    </row>
    <row r="161" spans="6:7">
      <c r="F161" s="33"/>
      <c r="G161" s="33"/>
    </row>
    <row r="162" spans="6:7">
      <c r="F162" s="33"/>
      <c r="G162" s="33"/>
    </row>
    <row r="163" spans="6:7">
      <c r="F163" s="33"/>
      <c r="G163" s="33"/>
    </row>
    <row r="164" spans="6:7">
      <c r="F164" s="33"/>
      <c r="G164" s="33"/>
    </row>
    <row r="165" spans="6:7">
      <c r="F165" s="33"/>
      <c r="G165" s="33"/>
    </row>
    <row r="166" spans="6:7">
      <c r="F166" s="33"/>
      <c r="G166" s="33"/>
    </row>
    <row r="167" spans="6:7">
      <c r="F167" s="33"/>
      <c r="G167" s="33"/>
    </row>
    <row r="168" spans="6:7">
      <c r="F168" s="33"/>
      <c r="G168" s="33"/>
    </row>
    <row r="169" spans="6:7">
      <c r="F169" s="33"/>
      <c r="G169" s="33"/>
    </row>
    <row r="170" spans="6:7">
      <c r="F170" s="33"/>
      <c r="G170" s="33"/>
    </row>
    <row r="171" spans="6:7">
      <c r="F171" s="33"/>
      <c r="G171" s="33"/>
    </row>
  </sheetData>
  <mergeCells count="3">
    <mergeCell ref="Z2:AE2"/>
    <mergeCell ref="AH2:AM2"/>
    <mergeCell ref="AP2:AU2"/>
  </mergeCells>
  <phoneticPr fontId="11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R171"/>
  <sheetViews>
    <sheetView workbookViewId="0">
      <selection activeCell="D65" sqref="D65"/>
    </sheetView>
  </sheetViews>
  <sheetFormatPr baseColWidth="10" defaultColWidth="8.625" defaultRowHeight="15"/>
  <cols>
    <col min="3" max="3" width="19" style="34" bestFit="1" customWidth="1"/>
    <col min="4" max="18" width="15.75" customWidth="1"/>
  </cols>
  <sheetData>
    <row r="2" spans="1:18">
      <c r="C2" s="29" t="s">
        <v>92</v>
      </c>
      <c r="D2" s="28" t="s">
        <v>93</v>
      </c>
      <c r="E2" s="28" t="s">
        <v>113</v>
      </c>
      <c r="F2" s="80" t="s">
        <v>81</v>
      </c>
      <c r="G2" s="80" t="s">
        <v>82</v>
      </c>
      <c r="H2" s="80" t="s">
        <v>96</v>
      </c>
      <c r="I2" s="80" t="s">
        <v>83</v>
      </c>
      <c r="J2" s="80" t="s">
        <v>84</v>
      </c>
      <c r="K2" s="80" t="s">
        <v>85</v>
      </c>
      <c r="L2" s="80" t="s">
        <v>88</v>
      </c>
      <c r="M2" s="80" t="s">
        <v>86</v>
      </c>
      <c r="N2" s="28" t="s">
        <v>181</v>
      </c>
      <c r="O2" s="28"/>
      <c r="P2" s="28"/>
      <c r="Q2" s="28"/>
      <c r="R2" s="28"/>
    </row>
    <row r="3" spans="1:18" ht="6" customHeight="1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>
      <c r="A4">
        <f>N4</f>
        <v>24329</v>
      </c>
      <c r="B4">
        <v>1</v>
      </c>
      <c r="C4" s="62" t="s">
        <v>156</v>
      </c>
      <c r="D4" s="81">
        <v>3400</v>
      </c>
      <c r="E4" s="82">
        <v>869</v>
      </c>
      <c r="F4" s="34">
        <v>1</v>
      </c>
      <c r="G4" s="34">
        <v>1</v>
      </c>
      <c r="H4" s="34" t="s">
        <v>90</v>
      </c>
      <c r="I4" s="34" t="s">
        <v>90</v>
      </c>
      <c r="J4" s="34" t="s">
        <v>90</v>
      </c>
      <c r="K4" s="34" t="s">
        <v>90</v>
      </c>
      <c r="L4" s="34" t="s">
        <v>91</v>
      </c>
      <c r="M4" s="34" t="s">
        <v>90</v>
      </c>
      <c r="N4">
        <v>24329</v>
      </c>
    </row>
    <row r="5" spans="1:18">
      <c r="A5">
        <f t="shared" ref="A5:A68" si="0">N5</f>
        <v>70916</v>
      </c>
      <c r="B5">
        <f>B4+1</f>
        <v>2</v>
      </c>
      <c r="C5" s="62" t="s">
        <v>156</v>
      </c>
      <c r="D5">
        <v>3700</v>
      </c>
      <c r="E5" s="82">
        <f t="shared" ref="E5:E10" si="1">D5/3.9</f>
        <v>948.71794871794873</v>
      </c>
      <c r="F5" s="34">
        <v>2</v>
      </c>
      <c r="G5" s="34">
        <v>1</v>
      </c>
      <c r="H5" s="34" t="s">
        <v>90</v>
      </c>
      <c r="I5" s="34" t="s">
        <v>91</v>
      </c>
      <c r="J5" s="34" t="s">
        <v>91</v>
      </c>
      <c r="K5" s="34" t="s">
        <v>91</v>
      </c>
      <c r="L5" s="34" t="s">
        <v>90</v>
      </c>
      <c r="M5" s="34" t="s">
        <v>91</v>
      </c>
      <c r="N5">
        <v>70916</v>
      </c>
    </row>
    <row r="6" spans="1:18">
      <c r="A6">
        <f t="shared" si="0"/>
        <v>84136</v>
      </c>
      <c r="B6">
        <f t="shared" ref="B6:B69" si="2">B5+1</f>
        <v>3</v>
      </c>
      <c r="C6" s="62" t="s">
        <v>156</v>
      </c>
      <c r="D6">
        <v>2500</v>
      </c>
      <c r="E6" s="82">
        <f t="shared" si="1"/>
        <v>641.02564102564099</v>
      </c>
      <c r="F6" s="34">
        <v>1</v>
      </c>
      <c r="G6" s="34">
        <v>1</v>
      </c>
      <c r="H6" s="34" t="s">
        <v>91</v>
      </c>
      <c r="I6" s="34" t="s">
        <v>91</v>
      </c>
      <c r="J6" s="34" t="s">
        <v>91</v>
      </c>
      <c r="K6" s="34" t="s">
        <v>91</v>
      </c>
      <c r="L6" s="34" t="s">
        <v>91</v>
      </c>
      <c r="M6" s="34" t="s">
        <v>91</v>
      </c>
      <c r="N6">
        <v>84136</v>
      </c>
    </row>
    <row r="7" spans="1:18">
      <c r="A7">
        <f t="shared" si="0"/>
        <v>81598</v>
      </c>
      <c r="B7">
        <f t="shared" si="2"/>
        <v>4</v>
      </c>
      <c r="C7" s="62" t="s">
        <v>156</v>
      </c>
      <c r="D7">
        <v>3000</v>
      </c>
      <c r="E7" s="82">
        <f t="shared" si="1"/>
        <v>769.23076923076928</v>
      </c>
      <c r="F7" s="34">
        <v>1</v>
      </c>
      <c r="G7" s="34">
        <v>1</v>
      </c>
      <c r="H7" s="34" t="s">
        <v>91</v>
      </c>
      <c r="I7" s="34" t="s">
        <v>91</v>
      </c>
      <c r="J7" s="34" t="s">
        <v>90</v>
      </c>
      <c r="K7" s="34" t="s">
        <v>90</v>
      </c>
      <c r="L7" s="34" t="s">
        <v>91</v>
      </c>
      <c r="M7" s="34" t="s">
        <v>91</v>
      </c>
      <c r="N7">
        <v>81598</v>
      </c>
    </row>
    <row r="8" spans="1:18">
      <c r="A8">
        <f t="shared" si="0"/>
        <v>97172</v>
      </c>
      <c r="B8">
        <f t="shared" si="2"/>
        <v>5</v>
      </c>
      <c r="C8" s="62" t="s">
        <v>156</v>
      </c>
      <c r="D8">
        <v>4200</v>
      </c>
      <c r="E8" s="82">
        <f t="shared" si="1"/>
        <v>1076.9230769230769</v>
      </c>
      <c r="F8" s="34">
        <v>2</v>
      </c>
      <c r="G8" s="34">
        <v>2</v>
      </c>
      <c r="H8" s="34" t="s">
        <v>90</v>
      </c>
      <c r="I8" s="34" t="s">
        <v>90</v>
      </c>
      <c r="J8" s="34" t="s">
        <v>90</v>
      </c>
      <c r="K8" s="34" t="s">
        <v>90</v>
      </c>
      <c r="L8" s="34" t="s">
        <v>91</v>
      </c>
      <c r="M8" s="34" t="s">
        <v>90</v>
      </c>
      <c r="N8">
        <v>97172</v>
      </c>
    </row>
    <row r="9" spans="1:18">
      <c r="A9">
        <f t="shared" si="0"/>
        <v>79273</v>
      </c>
      <c r="B9">
        <f t="shared" si="2"/>
        <v>6</v>
      </c>
      <c r="C9" s="62" t="s">
        <v>156</v>
      </c>
      <c r="D9">
        <v>2700</v>
      </c>
      <c r="E9" s="82">
        <f t="shared" si="1"/>
        <v>692.30769230769238</v>
      </c>
      <c r="F9" s="34">
        <v>1</v>
      </c>
      <c r="G9" s="34">
        <v>1</v>
      </c>
      <c r="H9" s="34" t="s">
        <v>91</v>
      </c>
      <c r="I9" s="34" t="s">
        <v>91</v>
      </c>
      <c r="J9" s="34" t="s">
        <v>91</v>
      </c>
      <c r="K9" s="34" t="s">
        <v>91</v>
      </c>
      <c r="L9" s="34" t="s">
        <v>90</v>
      </c>
      <c r="M9" s="34" t="s">
        <v>91</v>
      </c>
      <c r="N9">
        <v>79273</v>
      </c>
    </row>
    <row r="10" spans="1:18">
      <c r="A10">
        <f t="shared" si="0"/>
        <v>84939</v>
      </c>
      <c r="B10">
        <f t="shared" si="2"/>
        <v>7</v>
      </c>
      <c r="C10" s="62" t="s">
        <v>156</v>
      </c>
      <c r="D10">
        <v>2400</v>
      </c>
      <c r="E10" s="82">
        <f t="shared" si="1"/>
        <v>615.38461538461536</v>
      </c>
      <c r="F10" s="34">
        <v>0</v>
      </c>
      <c r="G10" s="34">
        <v>1</v>
      </c>
      <c r="H10" s="34" t="s">
        <v>91</v>
      </c>
      <c r="I10" s="34" t="s">
        <v>90</v>
      </c>
      <c r="J10" s="34" t="s">
        <v>91</v>
      </c>
      <c r="K10" s="34" t="s">
        <v>91</v>
      </c>
      <c r="L10" s="34" t="s">
        <v>90</v>
      </c>
      <c r="M10" s="34" t="s">
        <v>91</v>
      </c>
      <c r="N10">
        <v>84939</v>
      </c>
    </row>
    <row r="11" spans="1:18">
      <c r="A11">
        <f t="shared" si="0"/>
        <v>32379</v>
      </c>
      <c r="B11">
        <f t="shared" si="2"/>
        <v>8</v>
      </c>
      <c r="C11" s="62" t="s">
        <v>6</v>
      </c>
      <c r="D11" s="81">
        <v>2650</v>
      </c>
      <c r="E11" s="82">
        <v>870</v>
      </c>
      <c r="F11" s="34">
        <v>1</v>
      </c>
      <c r="G11" s="34">
        <v>1</v>
      </c>
      <c r="H11" s="34" t="s">
        <v>91</v>
      </c>
      <c r="I11" s="34" t="s">
        <v>91</v>
      </c>
      <c r="J11" s="34" t="s">
        <v>91</v>
      </c>
      <c r="K11" s="34" t="s">
        <v>91</v>
      </c>
      <c r="L11" s="34" t="s">
        <v>90</v>
      </c>
      <c r="M11" s="34" t="s">
        <v>91</v>
      </c>
      <c r="N11">
        <v>32379</v>
      </c>
    </row>
    <row r="12" spans="1:18">
      <c r="A12">
        <f t="shared" si="0"/>
        <v>51668</v>
      </c>
      <c r="B12">
        <f t="shared" si="2"/>
        <v>9</v>
      </c>
      <c r="C12" s="62" t="s">
        <v>6</v>
      </c>
      <c r="D12">
        <v>2100</v>
      </c>
      <c r="E12" s="82">
        <f>D12/3.05</f>
        <v>688.52459016393448</v>
      </c>
      <c r="F12" s="34">
        <v>0</v>
      </c>
      <c r="G12" s="34">
        <v>1</v>
      </c>
      <c r="H12" s="34" t="s">
        <v>91</v>
      </c>
      <c r="I12" s="34" t="s">
        <v>91</v>
      </c>
      <c r="J12" s="34" t="s">
        <v>91</v>
      </c>
      <c r="K12" s="34" t="s">
        <v>91</v>
      </c>
      <c r="L12" s="34" t="s">
        <v>91</v>
      </c>
      <c r="M12" s="34" t="s">
        <v>91</v>
      </c>
      <c r="N12">
        <v>51668</v>
      </c>
    </row>
    <row r="13" spans="1:18">
      <c r="A13">
        <f t="shared" si="0"/>
        <v>89320</v>
      </c>
      <c r="B13">
        <f t="shared" si="2"/>
        <v>10</v>
      </c>
      <c r="C13" s="62" t="s">
        <v>6</v>
      </c>
      <c r="D13">
        <v>2500</v>
      </c>
      <c r="E13" s="82">
        <f t="shared" ref="E13:E20" si="3">D13/3.05</f>
        <v>819.67213114754099</v>
      </c>
      <c r="F13" s="34">
        <v>1</v>
      </c>
      <c r="G13" s="34">
        <v>1</v>
      </c>
      <c r="H13" s="34" t="s">
        <v>90</v>
      </c>
      <c r="I13" s="34" t="s">
        <v>91</v>
      </c>
      <c r="J13" s="34" t="s">
        <v>91</v>
      </c>
      <c r="K13" s="34" t="s">
        <v>91</v>
      </c>
      <c r="L13" s="34" t="s">
        <v>90</v>
      </c>
      <c r="M13" s="34" t="s">
        <v>91</v>
      </c>
      <c r="N13">
        <v>89320</v>
      </c>
    </row>
    <row r="14" spans="1:18">
      <c r="A14">
        <f t="shared" si="0"/>
        <v>11694</v>
      </c>
      <c r="B14">
        <f t="shared" si="2"/>
        <v>11</v>
      </c>
      <c r="C14" s="62" t="s">
        <v>6</v>
      </c>
      <c r="D14">
        <v>3000</v>
      </c>
      <c r="E14" s="82">
        <f t="shared" si="3"/>
        <v>983.60655737704928</v>
      </c>
      <c r="F14" s="34">
        <v>2</v>
      </c>
      <c r="G14" s="34">
        <v>1</v>
      </c>
      <c r="H14" s="34" t="s">
        <v>91</v>
      </c>
      <c r="I14" s="34" t="s">
        <v>91</v>
      </c>
      <c r="J14" s="34" t="s">
        <v>91</v>
      </c>
      <c r="K14" s="34" t="s">
        <v>91</v>
      </c>
      <c r="L14" s="34" t="s">
        <v>91</v>
      </c>
      <c r="M14" s="34" t="s">
        <v>91</v>
      </c>
      <c r="N14">
        <v>11694</v>
      </c>
    </row>
    <row r="15" spans="1:18">
      <c r="A15">
        <f t="shared" si="0"/>
        <v>31326</v>
      </c>
      <c r="B15">
        <f t="shared" si="2"/>
        <v>12</v>
      </c>
      <c r="C15" s="62" t="s">
        <v>6</v>
      </c>
      <c r="D15">
        <v>3300</v>
      </c>
      <c r="E15" s="82">
        <f t="shared" si="3"/>
        <v>1081.9672131147543</v>
      </c>
      <c r="F15" s="34">
        <v>2</v>
      </c>
      <c r="G15" s="34">
        <v>2</v>
      </c>
      <c r="H15" s="34" t="s">
        <v>90</v>
      </c>
      <c r="I15" s="34" t="s">
        <v>90</v>
      </c>
      <c r="J15" s="34" t="s">
        <v>90</v>
      </c>
      <c r="K15" s="34" t="s">
        <v>90</v>
      </c>
      <c r="L15" s="34" t="s">
        <v>91</v>
      </c>
      <c r="M15" s="34" t="s">
        <v>90</v>
      </c>
      <c r="N15">
        <v>31326</v>
      </c>
    </row>
    <row r="16" spans="1:18">
      <c r="A16">
        <f t="shared" si="0"/>
        <v>55004</v>
      </c>
      <c r="B16">
        <f t="shared" si="2"/>
        <v>13</v>
      </c>
      <c r="C16" s="62" t="s">
        <v>6</v>
      </c>
      <c r="D16">
        <v>2700</v>
      </c>
      <c r="E16" s="82">
        <f t="shared" si="3"/>
        <v>885.24590163934431</v>
      </c>
      <c r="F16" s="34">
        <v>2</v>
      </c>
      <c r="G16" s="34">
        <v>1</v>
      </c>
      <c r="H16" s="34" t="s">
        <v>91</v>
      </c>
      <c r="I16" s="34" t="s">
        <v>91</v>
      </c>
      <c r="J16" s="34" t="s">
        <v>91</v>
      </c>
      <c r="K16" s="34" t="s">
        <v>91</v>
      </c>
      <c r="L16" s="34" t="s">
        <v>90</v>
      </c>
      <c r="M16" s="34" t="s">
        <v>91</v>
      </c>
      <c r="N16">
        <v>55004</v>
      </c>
    </row>
    <row r="17" spans="1:14">
      <c r="A17">
        <f t="shared" si="0"/>
        <v>91121</v>
      </c>
      <c r="B17">
        <f t="shared" si="2"/>
        <v>14</v>
      </c>
      <c r="C17" s="62" t="s">
        <v>6</v>
      </c>
      <c r="D17">
        <v>2300</v>
      </c>
      <c r="E17" s="82">
        <f t="shared" si="3"/>
        <v>754.09836065573779</v>
      </c>
      <c r="F17" s="34">
        <v>1</v>
      </c>
      <c r="G17" s="34">
        <v>1</v>
      </c>
      <c r="H17" s="34" t="s">
        <v>91</v>
      </c>
      <c r="I17" s="34" t="s">
        <v>91</v>
      </c>
      <c r="J17" s="34" t="s">
        <v>91</v>
      </c>
      <c r="K17" s="34" t="s">
        <v>91</v>
      </c>
      <c r="L17" s="34" t="s">
        <v>91</v>
      </c>
      <c r="M17" s="34" t="s">
        <v>91</v>
      </c>
      <c r="N17">
        <v>91121</v>
      </c>
    </row>
    <row r="18" spans="1:14">
      <c r="A18">
        <f t="shared" si="0"/>
        <v>98895</v>
      </c>
      <c r="B18">
        <f t="shared" si="2"/>
        <v>15</v>
      </c>
      <c r="C18" s="62" t="s">
        <v>6</v>
      </c>
      <c r="D18">
        <v>2400</v>
      </c>
      <c r="E18" s="82">
        <f t="shared" si="3"/>
        <v>786.88524590163934</v>
      </c>
      <c r="F18" s="34">
        <v>1</v>
      </c>
      <c r="G18" s="34">
        <v>1</v>
      </c>
      <c r="H18" s="34" t="s">
        <v>91</v>
      </c>
      <c r="I18" s="34" t="s">
        <v>91</v>
      </c>
      <c r="J18" s="34" t="s">
        <v>91</v>
      </c>
      <c r="K18" s="34" t="s">
        <v>91</v>
      </c>
      <c r="L18" s="34" t="s">
        <v>90</v>
      </c>
      <c r="M18" s="34" t="s">
        <v>91</v>
      </c>
      <c r="N18">
        <v>98895</v>
      </c>
    </row>
    <row r="19" spans="1:14">
      <c r="A19">
        <f t="shared" si="0"/>
        <v>53033</v>
      </c>
      <c r="B19">
        <f t="shared" si="2"/>
        <v>16</v>
      </c>
      <c r="C19" s="62" t="s">
        <v>6</v>
      </c>
      <c r="D19">
        <v>3000</v>
      </c>
      <c r="E19" s="82">
        <f t="shared" si="3"/>
        <v>983.60655737704928</v>
      </c>
      <c r="F19" s="34">
        <v>1</v>
      </c>
      <c r="G19" s="34">
        <v>1</v>
      </c>
      <c r="H19" s="34" t="s">
        <v>90</v>
      </c>
      <c r="I19" s="34" t="s">
        <v>90</v>
      </c>
      <c r="J19" s="34" t="s">
        <v>90</v>
      </c>
      <c r="K19" s="34" t="s">
        <v>90</v>
      </c>
      <c r="L19" s="34" t="s">
        <v>91</v>
      </c>
      <c r="M19" s="34" t="s">
        <v>91</v>
      </c>
      <c r="N19">
        <v>53033</v>
      </c>
    </row>
    <row r="20" spans="1:14">
      <c r="A20">
        <f t="shared" si="0"/>
        <v>50414</v>
      </c>
      <c r="B20">
        <f t="shared" si="2"/>
        <v>17</v>
      </c>
      <c r="C20" s="62" t="s">
        <v>6</v>
      </c>
      <c r="D20">
        <v>2600</v>
      </c>
      <c r="E20" s="82">
        <f t="shared" si="3"/>
        <v>852.45901639344265</v>
      </c>
      <c r="F20" s="34">
        <v>1</v>
      </c>
      <c r="G20" s="34">
        <v>1</v>
      </c>
      <c r="H20" s="34" t="s">
        <v>91</v>
      </c>
      <c r="I20" s="34" t="s">
        <v>91</v>
      </c>
      <c r="J20" s="34" t="s">
        <v>91</v>
      </c>
      <c r="K20" s="34" t="s">
        <v>91</v>
      </c>
      <c r="L20" s="34" t="s">
        <v>91</v>
      </c>
      <c r="M20" s="34" t="s">
        <v>91</v>
      </c>
      <c r="N20">
        <v>50414</v>
      </c>
    </row>
    <row r="21" spans="1:14">
      <c r="A21">
        <f t="shared" si="0"/>
        <v>98943</v>
      </c>
      <c r="B21">
        <f t="shared" si="2"/>
        <v>18</v>
      </c>
      <c r="C21" s="62" t="s">
        <v>54</v>
      </c>
      <c r="D21" s="81">
        <v>3974</v>
      </c>
      <c r="E21" s="82">
        <v>879</v>
      </c>
      <c r="F21" s="34">
        <v>1</v>
      </c>
      <c r="G21" s="34">
        <v>1</v>
      </c>
      <c r="H21" s="34" t="s">
        <v>91</v>
      </c>
      <c r="I21" s="34" t="s">
        <v>90</v>
      </c>
      <c r="J21" s="34" t="s">
        <v>90</v>
      </c>
      <c r="K21" s="34" t="s">
        <v>90</v>
      </c>
      <c r="L21" s="34" t="s">
        <v>91</v>
      </c>
      <c r="M21" s="34" t="s">
        <v>90</v>
      </c>
      <c r="N21">
        <v>98943</v>
      </c>
    </row>
    <row r="22" spans="1:14">
      <c r="A22">
        <f t="shared" si="0"/>
        <v>95086</v>
      </c>
      <c r="B22">
        <f t="shared" si="2"/>
        <v>19</v>
      </c>
      <c r="C22" s="62" t="s">
        <v>54</v>
      </c>
      <c r="D22">
        <v>4700</v>
      </c>
      <c r="E22" s="82">
        <f>D22/4.5</f>
        <v>1044.4444444444443</v>
      </c>
      <c r="F22" s="34">
        <v>2</v>
      </c>
      <c r="G22" s="34">
        <v>2</v>
      </c>
      <c r="H22" s="34" t="s">
        <v>90</v>
      </c>
      <c r="I22" s="34" t="s">
        <v>90</v>
      </c>
      <c r="J22" s="34" t="s">
        <v>90</v>
      </c>
      <c r="K22" s="34" t="s">
        <v>90</v>
      </c>
      <c r="L22" s="34" t="s">
        <v>91</v>
      </c>
      <c r="M22" s="34" t="s">
        <v>90</v>
      </c>
      <c r="N22">
        <v>95086</v>
      </c>
    </row>
    <row r="23" spans="1:14">
      <c r="A23">
        <f t="shared" si="0"/>
        <v>52161</v>
      </c>
      <c r="B23">
        <f t="shared" si="2"/>
        <v>20</v>
      </c>
      <c r="C23" s="62" t="s">
        <v>54</v>
      </c>
      <c r="D23">
        <v>3500</v>
      </c>
      <c r="E23" s="82">
        <f>D23/4.5</f>
        <v>777.77777777777783</v>
      </c>
      <c r="F23" s="34">
        <v>1</v>
      </c>
      <c r="G23" s="34">
        <v>1</v>
      </c>
      <c r="H23" s="34" t="s">
        <v>91</v>
      </c>
      <c r="I23" s="34" t="s">
        <v>91</v>
      </c>
      <c r="J23" s="34" t="s">
        <v>91</v>
      </c>
      <c r="K23" s="34" t="s">
        <v>91</v>
      </c>
      <c r="L23" s="34" t="s">
        <v>90</v>
      </c>
      <c r="M23" s="34" t="s">
        <v>91</v>
      </c>
      <c r="N23">
        <v>52161</v>
      </c>
    </row>
    <row r="24" spans="1:14">
      <c r="A24">
        <f t="shared" si="0"/>
        <v>49532</v>
      </c>
      <c r="B24">
        <f t="shared" si="2"/>
        <v>21</v>
      </c>
      <c r="C24" s="62" t="s">
        <v>54</v>
      </c>
      <c r="D24">
        <v>3300</v>
      </c>
      <c r="E24" s="82">
        <f>D24/4.5</f>
        <v>733.33333333333337</v>
      </c>
      <c r="F24" s="34">
        <v>1</v>
      </c>
      <c r="G24" s="34">
        <v>1</v>
      </c>
      <c r="H24" s="34" t="s">
        <v>91</v>
      </c>
      <c r="I24" s="34" t="s">
        <v>91</v>
      </c>
      <c r="J24" s="34" t="s">
        <v>91</v>
      </c>
      <c r="K24" s="34" t="s">
        <v>91</v>
      </c>
      <c r="L24" s="34" t="s">
        <v>90</v>
      </c>
      <c r="M24" s="34" t="s">
        <v>91</v>
      </c>
      <c r="N24">
        <v>49532</v>
      </c>
    </row>
    <row r="25" spans="1:14">
      <c r="A25">
        <f t="shared" si="0"/>
        <v>99270</v>
      </c>
      <c r="B25">
        <f t="shared" si="2"/>
        <v>22</v>
      </c>
      <c r="C25" s="62" t="s">
        <v>54</v>
      </c>
      <c r="D25">
        <v>4300</v>
      </c>
      <c r="E25" s="82">
        <f>D25/4.5</f>
        <v>955.55555555555554</v>
      </c>
      <c r="F25" s="34">
        <v>1</v>
      </c>
      <c r="G25" s="34">
        <v>1</v>
      </c>
      <c r="H25" s="34" t="s">
        <v>90</v>
      </c>
      <c r="I25" s="34" t="s">
        <v>90</v>
      </c>
      <c r="J25" s="34" t="s">
        <v>90</v>
      </c>
      <c r="K25" s="34" t="s">
        <v>90</v>
      </c>
      <c r="L25" s="34" t="s">
        <v>91</v>
      </c>
      <c r="M25" s="34" t="s">
        <v>90</v>
      </c>
      <c r="N25">
        <v>99270</v>
      </c>
    </row>
    <row r="26" spans="1:14">
      <c r="A26">
        <f t="shared" si="0"/>
        <v>59148</v>
      </c>
      <c r="B26">
        <f t="shared" si="2"/>
        <v>23</v>
      </c>
      <c r="C26" s="62" t="s">
        <v>56</v>
      </c>
      <c r="D26" s="81">
        <v>3375</v>
      </c>
      <c r="E26" s="82">
        <v>710</v>
      </c>
      <c r="F26" s="34">
        <v>1</v>
      </c>
      <c r="G26" s="34">
        <v>1</v>
      </c>
      <c r="H26" s="34" t="s">
        <v>91</v>
      </c>
      <c r="I26" s="34" t="s">
        <v>91</v>
      </c>
      <c r="J26" s="34" t="s">
        <v>91</v>
      </c>
      <c r="K26" s="34" t="s">
        <v>91</v>
      </c>
      <c r="L26" s="34" t="s">
        <v>90</v>
      </c>
      <c r="M26" s="34" t="s">
        <v>91</v>
      </c>
      <c r="N26">
        <v>59148</v>
      </c>
    </row>
    <row r="27" spans="1:14">
      <c r="A27">
        <f t="shared" si="0"/>
        <v>90607</v>
      </c>
      <c r="B27">
        <f t="shared" si="2"/>
        <v>24</v>
      </c>
      <c r="C27" s="62" t="s">
        <v>56</v>
      </c>
      <c r="D27">
        <v>3500</v>
      </c>
      <c r="E27" s="82">
        <f>D27/4.75</f>
        <v>736.84210526315792</v>
      </c>
      <c r="F27" s="34">
        <v>1</v>
      </c>
      <c r="G27" s="34">
        <v>1</v>
      </c>
      <c r="H27" s="34" t="s">
        <v>91</v>
      </c>
      <c r="I27" s="34" t="s">
        <v>90</v>
      </c>
      <c r="J27" s="34" t="s">
        <v>90</v>
      </c>
      <c r="K27" s="34" t="s">
        <v>90</v>
      </c>
      <c r="L27" s="34" t="s">
        <v>91</v>
      </c>
      <c r="M27" s="34" t="s">
        <v>90</v>
      </c>
      <c r="N27">
        <v>90607</v>
      </c>
    </row>
    <row r="28" spans="1:14">
      <c r="A28">
        <f t="shared" si="0"/>
        <v>52680</v>
      </c>
      <c r="B28">
        <f t="shared" si="2"/>
        <v>25</v>
      </c>
      <c r="C28" s="62" t="s">
        <v>56</v>
      </c>
      <c r="D28">
        <v>3100</v>
      </c>
      <c r="E28" s="82">
        <f>D28/4.75</f>
        <v>652.63157894736844</v>
      </c>
      <c r="F28" s="34">
        <v>1</v>
      </c>
      <c r="G28" s="34">
        <v>1</v>
      </c>
      <c r="H28" s="34" t="s">
        <v>91</v>
      </c>
      <c r="I28" s="34" t="s">
        <v>91</v>
      </c>
      <c r="J28" s="34" t="s">
        <v>91</v>
      </c>
      <c r="K28" s="34" t="s">
        <v>91</v>
      </c>
      <c r="L28" s="34" t="s">
        <v>90</v>
      </c>
      <c r="M28" s="34" t="s">
        <v>91</v>
      </c>
      <c r="N28">
        <v>52680</v>
      </c>
    </row>
    <row r="29" spans="1:14">
      <c r="A29">
        <f t="shared" si="0"/>
        <v>25960</v>
      </c>
      <c r="B29">
        <f t="shared" si="2"/>
        <v>26</v>
      </c>
      <c r="C29" s="62" t="s">
        <v>56</v>
      </c>
      <c r="D29">
        <v>3000</v>
      </c>
      <c r="E29" s="82">
        <f>D29/4.75</f>
        <v>631.57894736842104</v>
      </c>
      <c r="F29" s="34">
        <v>1</v>
      </c>
      <c r="G29" s="34">
        <v>1</v>
      </c>
      <c r="H29" s="34" t="s">
        <v>91</v>
      </c>
      <c r="I29" s="34" t="s">
        <v>91</v>
      </c>
      <c r="J29" s="34" t="s">
        <v>91</v>
      </c>
      <c r="K29" s="34" t="s">
        <v>91</v>
      </c>
      <c r="L29" s="34" t="s">
        <v>90</v>
      </c>
      <c r="M29" s="34" t="s">
        <v>91</v>
      </c>
      <c r="N29">
        <v>25960</v>
      </c>
    </row>
    <row r="30" spans="1:14">
      <c r="A30">
        <f t="shared" si="0"/>
        <v>91235</v>
      </c>
      <c r="B30">
        <f t="shared" si="2"/>
        <v>27</v>
      </c>
      <c r="C30" s="62" t="s">
        <v>56</v>
      </c>
      <c r="D30">
        <v>3800</v>
      </c>
      <c r="E30" s="82">
        <f>D30/4.75</f>
        <v>800</v>
      </c>
      <c r="F30" s="34">
        <v>2</v>
      </c>
      <c r="G30" s="34">
        <v>1</v>
      </c>
      <c r="H30" s="34" t="s">
        <v>90</v>
      </c>
      <c r="I30" s="34" t="s">
        <v>90</v>
      </c>
      <c r="J30" s="34" t="s">
        <v>90</v>
      </c>
      <c r="K30" s="34" t="s">
        <v>90</v>
      </c>
      <c r="L30" s="34" t="s">
        <v>91</v>
      </c>
      <c r="M30" s="34" t="s">
        <v>90</v>
      </c>
      <c r="N30">
        <v>91235</v>
      </c>
    </row>
    <row r="31" spans="1:14">
      <c r="A31">
        <f t="shared" si="0"/>
        <v>24392</v>
      </c>
      <c r="B31">
        <f t="shared" si="2"/>
        <v>28</v>
      </c>
      <c r="C31" s="62" t="s">
        <v>56</v>
      </c>
      <c r="D31">
        <v>4000</v>
      </c>
      <c r="E31" s="82">
        <f>D31/4.75</f>
        <v>842.10526315789468</v>
      </c>
      <c r="F31" s="34">
        <v>2</v>
      </c>
      <c r="G31" s="34">
        <v>2</v>
      </c>
      <c r="H31" s="34" t="s">
        <v>91</v>
      </c>
      <c r="I31" s="34" t="s">
        <v>90</v>
      </c>
      <c r="J31" s="34" t="s">
        <v>90</v>
      </c>
      <c r="K31" s="34" t="s">
        <v>90</v>
      </c>
      <c r="L31" s="34" t="s">
        <v>91</v>
      </c>
      <c r="M31" s="34" t="s">
        <v>90</v>
      </c>
      <c r="N31">
        <v>24392</v>
      </c>
    </row>
    <row r="32" spans="1:14">
      <c r="A32">
        <f t="shared" si="0"/>
        <v>63997</v>
      </c>
      <c r="B32">
        <f t="shared" si="2"/>
        <v>29</v>
      </c>
      <c r="C32" s="62" t="s">
        <v>57</v>
      </c>
      <c r="D32" s="81">
        <v>3100</v>
      </c>
      <c r="E32" s="82">
        <v>800</v>
      </c>
      <c r="F32" s="34">
        <v>1</v>
      </c>
      <c r="G32" s="34">
        <v>1</v>
      </c>
      <c r="H32" s="34" t="s">
        <v>91</v>
      </c>
      <c r="I32" s="34" t="s">
        <v>91</v>
      </c>
      <c r="J32" s="34" t="s">
        <v>91</v>
      </c>
      <c r="K32" s="34" t="s">
        <v>91</v>
      </c>
      <c r="L32" s="34" t="s">
        <v>90</v>
      </c>
      <c r="M32" s="34" t="s">
        <v>91</v>
      </c>
      <c r="N32">
        <v>63997</v>
      </c>
    </row>
    <row r="33" spans="1:14">
      <c r="A33">
        <f t="shared" si="0"/>
        <v>29378</v>
      </c>
      <c r="B33">
        <f t="shared" si="2"/>
        <v>30</v>
      </c>
      <c r="C33" s="62" t="s">
        <v>57</v>
      </c>
      <c r="D33">
        <v>3300</v>
      </c>
      <c r="E33" s="82">
        <f>D33/3.87</f>
        <v>852.71317829457359</v>
      </c>
      <c r="F33" s="34">
        <v>1</v>
      </c>
      <c r="G33" s="34">
        <v>1</v>
      </c>
      <c r="H33" s="34" t="s">
        <v>91</v>
      </c>
      <c r="I33" s="34" t="s">
        <v>90</v>
      </c>
      <c r="J33" s="34" t="s">
        <v>91</v>
      </c>
      <c r="K33" s="34" t="s">
        <v>91</v>
      </c>
      <c r="L33" s="34" t="s">
        <v>91</v>
      </c>
      <c r="M33" s="34" t="s">
        <v>91</v>
      </c>
      <c r="N33">
        <v>29378</v>
      </c>
    </row>
    <row r="34" spans="1:14">
      <c r="A34">
        <f t="shared" si="0"/>
        <v>99418</v>
      </c>
      <c r="B34">
        <f t="shared" si="2"/>
        <v>31</v>
      </c>
      <c r="C34" s="62" t="s">
        <v>57</v>
      </c>
      <c r="D34">
        <v>3500</v>
      </c>
      <c r="E34" s="82">
        <f t="shared" ref="E34:E40" si="4">D34/3.87</f>
        <v>904.39276485788116</v>
      </c>
      <c r="F34" s="34">
        <v>1</v>
      </c>
      <c r="G34" s="34">
        <v>1</v>
      </c>
      <c r="H34" s="34" t="s">
        <v>90</v>
      </c>
      <c r="I34" s="34" t="s">
        <v>90</v>
      </c>
      <c r="J34" s="34" t="s">
        <v>90</v>
      </c>
      <c r="K34" s="34" t="s">
        <v>90</v>
      </c>
      <c r="L34" s="34" t="s">
        <v>91</v>
      </c>
      <c r="M34" s="34" t="s">
        <v>90</v>
      </c>
      <c r="N34">
        <v>99418</v>
      </c>
    </row>
    <row r="35" spans="1:14">
      <c r="A35">
        <f t="shared" si="0"/>
        <v>78733</v>
      </c>
      <c r="B35">
        <f t="shared" si="2"/>
        <v>32</v>
      </c>
      <c r="C35" s="62" t="s">
        <v>57</v>
      </c>
      <c r="D35">
        <v>3700</v>
      </c>
      <c r="E35" s="82">
        <f t="shared" si="4"/>
        <v>956.07235142118861</v>
      </c>
      <c r="F35" s="34">
        <v>2</v>
      </c>
      <c r="G35" s="34">
        <v>2</v>
      </c>
      <c r="H35" s="34" t="s">
        <v>91</v>
      </c>
      <c r="I35" s="34" t="s">
        <v>91</v>
      </c>
      <c r="J35" s="34" t="s">
        <v>91</v>
      </c>
      <c r="K35" s="34" t="s">
        <v>91</v>
      </c>
      <c r="L35" s="34" t="s">
        <v>90</v>
      </c>
      <c r="M35" s="34" t="s">
        <v>91</v>
      </c>
      <c r="N35">
        <v>78733</v>
      </c>
    </row>
    <row r="36" spans="1:14">
      <c r="A36">
        <f t="shared" si="0"/>
        <v>21533</v>
      </c>
      <c r="B36">
        <f t="shared" si="2"/>
        <v>33</v>
      </c>
      <c r="C36" s="62" t="s">
        <v>57</v>
      </c>
      <c r="D36">
        <v>2300</v>
      </c>
      <c r="E36" s="82">
        <f t="shared" si="4"/>
        <v>594.3152454780361</v>
      </c>
      <c r="F36" s="34">
        <v>0</v>
      </c>
      <c r="G36" s="34">
        <v>1</v>
      </c>
      <c r="H36" s="34" t="s">
        <v>91</v>
      </c>
      <c r="I36" s="34" t="s">
        <v>91</v>
      </c>
      <c r="J36" s="34" t="s">
        <v>91</v>
      </c>
      <c r="K36" s="34" t="s">
        <v>91</v>
      </c>
      <c r="L36" s="34" t="s">
        <v>91</v>
      </c>
      <c r="M36" s="34" t="s">
        <v>91</v>
      </c>
      <c r="N36">
        <v>21533</v>
      </c>
    </row>
    <row r="37" spans="1:14">
      <c r="A37">
        <f t="shared" si="0"/>
        <v>69368</v>
      </c>
      <c r="B37">
        <f t="shared" si="2"/>
        <v>34</v>
      </c>
      <c r="C37" s="62" t="s">
        <v>57</v>
      </c>
      <c r="D37">
        <v>2500</v>
      </c>
      <c r="E37" s="82">
        <f t="shared" si="4"/>
        <v>645.99483204134367</v>
      </c>
      <c r="F37" s="34">
        <v>1</v>
      </c>
      <c r="G37" s="34">
        <v>1</v>
      </c>
      <c r="H37" s="34" t="s">
        <v>91</v>
      </c>
      <c r="I37" s="34" t="s">
        <v>90</v>
      </c>
      <c r="J37" s="34" t="s">
        <v>91</v>
      </c>
      <c r="K37" s="34" t="s">
        <v>91</v>
      </c>
      <c r="L37" s="34" t="s">
        <v>90</v>
      </c>
      <c r="M37" s="34" t="s">
        <v>91</v>
      </c>
      <c r="N37">
        <v>69368</v>
      </c>
    </row>
    <row r="38" spans="1:14">
      <c r="A38">
        <f t="shared" si="0"/>
        <v>44198</v>
      </c>
      <c r="B38">
        <f t="shared" si="2"/>
        <v>35</v>
      </c>
      <c r="C38" s="62" t="s">
        <v>57</v>
      </c>
      <c r="D38">
        <v>2000</v>
      </c>
      <c r="E38" s="82">
        <f t="shared" si="4"/>
        <v>516.79586563307487</v>
      </c>
      <c r="F38" s="34">
        <v>0</v>
      </c>
      <c r="G38" s="34">
        <v>1</v>
      </c>
      <c r="H38" s="34" t="s">
        <v>91</v>
      </c>
      <c r="I38" s="34" t="s">
        <v>91</v>
      </c>
      <c r="J38" s="34" t="s">
        <v>91</v>
      </c>
      <c r="K38" s="34" t="s">
        <v>91</v>
      </c>
      <c r="L38" s="34" t="s">
        <v>90</v>
      </c>
      <c r="M38" s="34" t="s">
        <v>91</v>
      </c>
      <c r="N38">
        <v>44198</v>
      </c>
    </row>
    <row r="39" spans="1:14">
      <c r="A39">
        <f t="shared" si="0"/>
        <v>23400</v>
      </c>
      <c r="B39">
        <f t="shared" si="2"/>
        <v>36</v>
      </c>
      <c r="C39" s="62" t="s">
        <v>57</v>
      </c>
      <c r="D39">
        <v>4000</v>
      </c>
      <c r="E39" s="82">
        <f t="shared" si="4"/>
        <v>1033.5917312661497</v>
      </c>
      <c r="F39" s="34">
        <v>1</v>
      </c>
      <c r="G39" s="34">
        <v>1</v>
      </c>
      <c r="H39" s="34" t="s">
        <v>90</v>
      </c>
      <c r="I39" s="34" t="s">
        <v>90</v>
      </c>
      <c r="J39" s="34" t="s">
        <v>90</v>
      </c>
      <c r="K39" s="34" t="s">
        <v>90</v>
      </c>
      <c r="L39" s="34" t="s">
        <v>90</v>
      </c>
      <c r="M39" s="34" t="s">
        <v>90</v>
      </c>
      <c r="N39">
        <v>23400</v>
      </c>
    </row>
    <row r="40" spans="1:14">
      <c r="A40">
        <f t="shared" si="0"/>
        <v>96973</v>
      </c>
      <c r="B40">
        <f t="shared" si="2"/>
        <v>37</v>
      </c>
      <c r="C40" s="62" t="s">
        <v>57</v>
      </c>
      <c r="D40">
        <v>5000</v>
      </c>
      <c r="E40" s="82">
        <f t="shared" si="4"/>
        <v>1291.9896640826873</v>
      </c>
      <c r="F40" s="34">
        <v>2</v>
      </c>
      <c r="G40" s="34">
        <v>2</v>
      </c>
      <c r="H40" s="34" t="s">
        <v>90</v>
      </c>
      <c r="I40" s="34" t="s">
        <v>90</v>
      </c>
      <c r="J40" s="34" t="s">
        <v>90</v>
      </c>
      <c r="K40" s="34" t="s">
        <v>90</v>
      </c>
      <c r="L40" s="34" t="s">
        <v>91</v>
      </c>
      <c r="M40" s="34" t="s">
        <v>90</v>
      </c>
      <c r="N40">
        <v>96973</v>
      </c>
    </row>
    <row r="41" spans="1:14">
      <c r="A41">
        <f t="shared" si="0"/>
        <v>78736</v>
      </c>
      <c r="B41">
        <f t="shared" si="2"/>
        <v>38</v>
      </c>
      <c r="C41" s="62" t="s">
        <v>5</v>
      </c>
      <c r="D41" s="81">
        <v>4500</v>
      </c>
      <c r="E41" s="82">
        <v>900</v>
      </c>
      <c r="F41" s="34">
        <v>1</v>
      </c>
      <c r="G41" s="34">
        <v>1</v>
      </c>
      <c r="H41" s="34" t="s">
        <v>91</v>
      </c>
      <c r="I41" s="34" t="s">
        <v>90</v>
      </c>
      <c r="J41" s="34" t="s">
        <v>90</v>
      </c>
      <c r="K41" s="34" t="s">
        <v>90</v>
      </c>
      <c r="L41" s="34" t="s">
        <v>91</v>
      </c>
      <c r="M41" s="34" t="s">
        <v>90</v>
      </c>
      <c r="N41">
        <v>78736</v>
      </c>
    </row>
    <row r="42" spans="1:14">
      <c r="A42">
        <f t="shared" si="0"/>
        <v>53344</v>
      </c>
      <c r="B42">
        <f t="shared" si="2"/>
        <v>39</v>
      </c>
      <c r="C42" s="62" t="s">
        <v>5</v>
      </c>
      <c r="D42">
        <v>5100</v>
      </c>
      <c r="E42" s="82">
        <f>D42/5</f>
        <v>1020</v>
      </c>
      <c r="F42" s="34">
        <v>2</v>
      </c>
      <c r="G42" s="34">
        <v>1</v>
      </c>
      <c r="H42" s="34" t="s">
        <v>90</v>
      </c>
      <c r="I42" s="34" t="s">
        <v>90</v>
      </c>
      <c r="J42" s="34" t="s">
        <v>90</v>
      </c>
      <c r="K42" s="34" t="s">
        <v>90</v>
      </c>
      <c r="L42" s="34" t="s">
        <v>90</v>
      </c>
      <c r="M42" s="34" t="s">
        <v>91</v>
      </c>
      <c r="N42">
        <v>53344</v>
      </c>
    </row>
    <row r="43" spans="1:14">
      <c r="A43">
        <f t="shared" si="0"/>
        <v>26665</v>
      </c>
      <c r="B43">
        <f t="shared" si="2"/>
        <v>40</v>
      </c>
      <c r="C43" s="62" t="s">
        <v>5</v>
      </c>
      <c r="D43">
        <v>3900</v>
      </c>
      <c r="E43" s="82">
        <f>D43/5</f>
        <v>780</v>
      </c>
      <c r="F43" s="34">
        <v>1</v>
      </c>
      <c r="G43" s="34">
        <v>1</v>
      </c>
      <c r="H43" s="34" t="s">
        <v>91</v>
      </c>
      <c r="I43" s="34" t="s">
        <v>91</v>
      </c>
      <c r="J43" s="34" t="s">
        <v>91</v>
      </c>
      <c r="K43" s="34" t="s">
        <v>91</v>
      </c>
      <c r="L43" s="34" t="s">
        <v>90</v>
      </c>
      <c r="M43" s="34" t="s">
        <v>91</v>
      </c>
      <c r="N43">
        <v>26665</v>
      </c>
    </row>
    <row r="44" spans="1:14">
      <c r="A44">
        <f t="shared" si="0"/>
        <v>61433</v>
      </c>
      <c r="B44">
        <f t="shared" si="2"/>
        <v>41</v>
      </c>
      <c r="C44" s="62" t="s">
        <v>59</v>
      </c>
      <c r="D44" s="81">
        <v>3407</v>
      </c>
      <c r="E44">
        <v>1082</v>
      </c>
      <c r="F44" s="34">
        <v>1</v>
      </c>
      <c r="G44" s="34">
        <v>1</v>
      </c>
      <c r="H44" s="34" t="s">
        <v>90</v>
      </c>
      <c r="I44" s="34" t="s">
        <v>90</v>
      </c>
      <c r="J44" s="34" t="s">
        <v>90</v>
      </c>
      <c r="K44" s="34" t="s">
        <v>91</v>
      </c>
      <c r="L44" s="34" t="s">
        <v>91</v>
      </c>
      <c r="M44" s="34" t="s">
        <v>90</v>
      </c>
      <c r="N44">
        <v>61433</v>
      </c>
    </row>
    <row r="45" spans="1:14">
      <c r="A45">
        <f t="shared" si="0"/>
        <v>32685</v>
      </c>
      <c r="B45">
        <f t="shared" si="2"/>
        <v>42</v>
      </c>
      <c r="C45" s="62" t="s">
        <v>59</v>
      </c>
      <c r="D45">
        <v>2900</v>
      </c>
      <c r="E45" s="82">
        <f>D45/3.15</f>
        <v>920.6349206349206</v>
      </c>
      <c r="F45" s="34">
        <v>1</v>
      </c>
      <c r="G45" s="34">
        <v>1</v>
      </c>
      <c r="H45" s="34" t="s">
        <v>91</v>
      </c>
      <c r="I45" s="34" t="s">
        <v>91</v>
      </c>
      <c r="J45" s="34" t="s">
        <v>91</v>
      </c>
      <c r="K45" s="34" t="s">
        <v>91</v>
      </c>
      <c r="L45" s="34" t="s">
        <v>90</v>
      </c>
      <c r="M45" s="34" t="s">
        <v>91</v>
      </c>
      <c r="N45">
        <v>32685</v>
      </c>
    </row>
    <row r="46" spans="1:14">
      <c r="A46">
        <f t="shared" si="0"/>
        <v>56368</v>
      </c>
      <c r="B46">
        <f t="shared" si="2"/>
        <v>43</v>
      </c>
      <c r="C46" s="62" t="s">
        <v>4</v>
      </c>
      <c r="D46" s="81">
        <v>3975</v>
      </c>
      <c r="E46" s="82">
        <v>900</v>
      </c>
      <c r="F46" s="34">
        <v>1</v>
      </c>
      <c r="G46" s="34">
        <v>1</v>
      </c>
      <c r="H46" s="34" t="s">
        <v>90</v>
      </c>
      <c r="I46" s="34" t="s">
        <v>90</v>
      </c>
      <c r="J46" s="34" t="s">
        <v>91</v>
      </c>
      <c r="K46" s="34" t="s">
        <v>91</v>
      </c>
      <c r="L46" s="34" t="s">
        <v>91</v>
      </c>
      <c r="M46" s="34" t="s">
        <v>91</v>
      </c>
      <c r="N46">
        <v>56368</v>
      </c>
    </row>
    <row r="47" spans="1:14">
      <c r="A47">
        <f t="shared" si="0"/>
        <v>91949</v>
      </c>
      <c r="B47">
        <f t="shared" si="2"/>
        <v>44</v>
      </c>
      <c r="C47" s="62" t="s">
        <v>4</v>
      </c>
      <c r="D47">
        <v>4000</v>
      </c>
      <c r="E47" s="83">
        <f>D47/4.41</f>
        <v>907.02947845804988</v>
      </c>
      <c r="F47" s="34">
        <v>1</v>
      </c>
      <c r="G47" s="34">
        <v>1</v>
      </c>
      <c r="H47" s="34" t="s">
        <v>91</v>
      </c>
      <c r="I47" s="34" t="s">
        <v>91</v>
      </c>
      <c r="J47" s="34" t="s">
        <v>91</v>
      </c>
      <c r="K47" s="34" t="s">
        <v>91</v>
      </c>
      <c r="L47" s="34" t="s">
        <v>90</v>
      </c>
      <c r="M47" s="34" t="s">
        <v>90</v>
      </c>
      <c r="N47">
        <v>91949</v>
      </c>
    </row>
    <row r="48" spans="1:14">
      <c r="A48">
        <f t="shared" si="0"/>
        <v>22258</v>
      </c>
      <c r="B48">
        <f t="shared" si="2"/>
        <v>45</v>
      </c>
      <c r="C48" s="62" t="s">
        <v>4</v>
      </c>
      <c r="D48" s="81">
        <v>4500</v>
      </c>
      <c r="E48" s="83">
        <f t="shared" ref="E48:E53" si="5">D48/4.41</f>
        <v>1020.4081632653061</v>
      </c>
      <c r="F48" s="34">
        <v>1</v>
      </c>
      <c r="G48" s="34">
        <v>1</v>
      </c>
      <c r="H48" s="34" t="s">
        <v>90</v>
      </c>
      <c r="I48" s="34" t="s">
        <v>90</v>
      </c>
      <c r="J48" s="34" t="s">
        <v>90</v>
      </c>
      <c r="K48" s="34" t="s">
        <v>90</v>
      </c>
      <c r="L48" s="34" t="s">
        <v>91</v>
      </c>
      <c r="M48" s="34" t="s">
        <v>90</v>
      </c>
      <c r="N48">
        <v>22258</v>
      </c>
    </row>
    <row r="49" spans="1:14">
      <c r="A49">
        <f t="shared" si="0"/>
        <v>74185</v>
      </c>
      <c r="B49">
        <f t="shared" si="2"/>
        <v>46</v>
      </c>
      <c r="C49" s="62" t="s">
        <v>4</v>
      </c>
      <c r="D49">
        <v>5000</v>
      </c>
      <c r="E49" s="83">
        <f t="shared" si="5"/>
        <v>1133.7868480725624</v>
      </c>
      <c r="F49" s="34">
        <v>2</v>
      </c>
      <c r="G49" s="34">
        <v>2</v>
      </c>
      <c r="H49" s="34" t="s">
        <v>91</v>
      </c>
      <c r="I49" s="34" t="s">
        <v>90</v>
      </c>
      <c r="J49" s="34" t="s">
        <v>90</v>
      </c>
      <c r="K49" s="34" t="s">
        <v>90</v>
      </c>
      <c r="L49" s="34" t="s">
        <v>91</v>
      </c>
      <c r="M49" s="34" t="s">
        <v>90</v>
      </c>
      <c r="N49">
        <v>74185</v>
      </c>
    </row>
    <row r="50" spans="1:14">
      <c r="A50">
        <f t="shared" si="0"/>
        <v>88656</v>
      </c>
      <c r="B50">
        <f t="shared" si="2"/>
        <v>47</v>
      </c>
      <c r="C50" s="62" t="s">
        <v>4</v>
      </c>
      <c r="D50" s="81">
        <v>4300</v>
      </c>
      <c r="E50" s="83">
        <f t="shared" si="5"/>
        <v>975.05668934240362</v>
      </c>
      <c r="F50" s="34">
        <v>2</v>
      </c>
      <c r="G50" s="34">
        <v>1</v>
      </c>
      <c r="H50" s="34" t="s">
        <v>91</v>
      </c>
      <c r="I50" s="34" t="s">
        <v>91</v>
      </c>
      <c r="J50" s="34" t="s">
        <v>91</v>
      </c>
      <c r="K50" s="34" t="s">
        <v>91</v>
      </c>
      <c r="L50" s="34" t="s">
        <v>90</v>
      </c>
      <c r="M50" s="34" t="s">
        <v>91</v>
      </c>
      <c r="N50">
        <v>88656</v>
      </c>
    </row>
    <row r="51" spans="1:14">
      <c r="A51">
        <f t="shared" si="0"/>
        <v>47297</v>
      </c>
      <c r="B51">
        <f t="shared" si="2"/>
        <v>48</v>
      </c>
      <c r="C51" s="62" t="s">
        <v>4</v>
      </c>
      <c r="D51">
        <v>3300</v>
      </c>
      <c r="E51" s="83">
        <f t="shared" si="5"/>
        <v>748.29931972789109</v>
      </c>
      <c r="F51" s="34">
        <v>0</v>
      </c>
      <c r="G51" s="34">
        <v>1</v>
      </c>
      <c r="H51" s="34" t="s">
        <v>91</v>
      </c>
      <c r="I51" s="34" t="s">
        <v>90</v>
      </c>
      <c r="J51" s="34" t="s">
        <v>90</v>
      </c>
      <c r="K51" s="34" t="s">
        <v>90</v>
      </c>
      <c r="L51" s="34" t="s">
        <v>91</v>
      </c>
      <c r="M51" s="34" t="s">
        <v>91</v>
      </c>
      <c r="N51">
        <v>47297</v>
      </c>
    </row>
    <row r="52" spans="1:14">
      <c r="A52">
        <f t="shared" si="0"/>
        <v>39073</v>
      </c>
      <c r="B52">
        <f t="shared" si="2"/>
        <v>49</v>
      </c>
      <c r="C52" s="62" t="s">
        <v>4</v>
      </c>
      <c r="D52" s="81">
        <v>3700</v>
      </c>
      <c r="E52" s="83">
        <f t="shared" si="5"/>
        <v>839.00226757369614</v>
      </c>
      <c r="F52" s="34">
        <v>1</v>
      </c>
      <c r="G52" s="34">
        <v>1</v>
      </c>
      <c r="H52" s="34" t="s">
        <v>90</v>
      </c>
      <c r="I52" s="34" t="s">
        <v>90</v>
      </c>
      <c r="J52" s="34" t="s">
        <v>91</v>
      </c>
      <c r="K52" s="34" t="s">
        <v>91</v>
      </c>
      <c r="L52" s="34" t="s">
        <v>90</v>
      </c>
      <c r="M52" s="34" t="s">
        <v>91</v>
      </c>
      <c r="N52">
        <v>39073</v>
      </c>
    </row>
    <row r="53" spans="1:14">
      <c r="A53">
        <f t="shared" si="0"/>
        <v>82402</v>
      </c>
      <c r="B53">
        <f t="shared" si="2"/>
        <v>50</v>
      </c>
      <c r="C53" s="62" t="s">
        <v>4</v>
      </c>
      <c r="D53">
        <v>3200</v>
      </c>
      <c r="E53" s="83">
        <f t="shared" si="5"/>
        <v>725.62358276643988</v>
      </c>
      <c r="F53" s="34">
        <v>0</v>
      </c>
      <c r="G53" s="34">
        <v>1</v>
      </c>
      <c r="H53" s="34" t="s">
        <v>91</v>
      </c>
      <c r="I53" s="34" t="s">
        <v>91</v>
      </c>
      <c r="J53" s="34" t="s">
        <v>91</v>
      </c>
      <c r="K53" s="34" t="s">
        <v>91</v>
      </c>
      <c r="L53" s="34" t="s">
        <v>90</v>
      </c>
      <c r="M53" s="34" t="s">
        <v>91</v>
      </c>
      <c r="N53">
        <v>82402</v>
      </c>
    </row>
    <row r="54" spans="1:14">
      <c r="A54">
        <f t="shared" si="0"/>
        <v>96433</v>
      </c>
      <c r="B54">
        <f t="shared" si="2"/>
        <v>51</v>
      </c>
      <c r="C54" s="62" t="s">
        <v>4</v>
      </c>
      <c r="D54">
        <v>2095</v>
      </c>
      <c r="E54">
        <v>525</v>
      </c>
      <c r="F54" s="34">
        <v>0</v>
      </c>
      <c r="G54" s="34">
        <v>1</v>
      </c>
      <c r="H54" s="34" t="s">
        <v>91</v>
      </c>
      <c r="I54" s="34" t="s">
        <v>90</v>
      </c>
      <c r="J54" s="34" t="s">
        <v>91</v>
      </c>
      <c r="K54" s="34" t="s">
        <v>91</v>
      </c>
      <c r="L54" s="34" t="s">
        <v>90</v>
      </c>
      <c r="M54" s="34" t="s">
        <v>91</v>
      </c>
      <c r="N54">
        <v>96433</v>
      </c>
    </row>
    <row r="55" spans="1:14">
      <c r="A55">
        <f t="shared" si="0"/>
        <v>54997</v>
      </c>
      <c r="B55">
        <f t="shared" si="2"/>
        <v>52</v>
      </c>
      <c r="C55" s="62" t="s">
        <v>4</v>
      </c>
      <c r="D55">
        <v>3600</v>
      </c>
      <c r="E55">
        <v>825</v>
      </c>
      <c r="F55" s="34">
        <v>2</v>
      </c>
      <c r="G55" s="34">
        <v>1</v>
      </c>
      <c r="H55" s="34" t="s">
        <v>91</v>
      </c>
      <c r="I55" s="34" t="s">
        <v>90</v>
      </c>
      <c r="J55" s="34" t="s">
        <v>90</v>
      </c>
      <c r="K55" s="34" t="s">
        <v>91</v>
      </c>
      <c r="L55" s="34" t="s">
        <v>91</v>
      </c>
      <c r="M55" s="34" t="s">
        <v>91</v>
      </c>
      <c r="N55">
        <v>54997</v>
      </c>
    </row>
    <row r="56" spans="1:14">
      <c r="A56">
        <f t="shared" si="0"/>
        <v>12093</v>
      </c>
      <c r="B56">
        <f t="shared" si="2"/>
        <v>53</v>
      </c>
      <c r="C56" s="63" t="s">
        <v>53</v>
      </c>
      <c r="D56">
        <v>2200</v>
      </c>
      <c r="E56">
        <v>588</v>
      </c>
      <c r="F56" s="34">
        <v>1</v>
      </c>
      <c r="G56" s="34">
        <v>1</v>
      </c>
      <c r="H56" s="34" t="s">
        <v>90</v>
      </c>
      <c r="I56" s="34" t="s">
        <v>90</v>
      </c>
      <c r="J56" s="34" t="s">
        <v>90</v>
      </c>
      <c r="K56" s="34" t="s">
        <v>90</v>
      </c>
      <c r="L56" s="34" t="s">
        <v>91</v>
      </c>
      <c r="M56" s="34" t="s">
        <v>91</v>
      </c>
      <c r="N56">
        <v>12093</v>
      </c>
    </row>
    <row r="57" spans="1:14">
      <c r="A57">
        <f t="shared" si="0"/>
        <v>19466</v>
      </c>
      <c r="B57">
        <f t="shared" si="2"/>
        <v>54</v>
      </c>
      <c r="C57" s="63" t="s">
        <v>53</v>
      </c>
      <c r="D57">
        <v>2700</v>
      </c>
      <c r="E57">
        <v>500</v>
      </c>
      <c r="F57" s="34">
        <v>0</v>
      </c>
      <c r="G57" s="34">
        <v>1</v>
      </c>
      <c r="H57" s="34" t="s">
        <v>90</v>
      </c>
      <c r="I57" s="34" t="s">
        <v>90</v>
      </c>
      <c r="J57" s="34" t="s">
        <v>90</v>
      </c>
      <c r="K57" s="34" t="s">
        <v>90</v>
      </c>
      <c r="L57" s="34" t="s">
        <v>90</v>
      </c>
      <c r="M57" s="34" t="s">
        <v>90</v>
      </c>
      <c r="N57">
        <v>19466</v>
      </c>
    </row>
    <row r="58" spans="1:14">
      <c r="A58">
        <f t="shared" si="0"/>
        <v>75881</v>
      </c>
      <c r="B58">
        <f t="shared" si="2"/>
        <v>55</v>
      </c>
      <c r="C58" s="63" t="s">
        <v>53</v>
      </c>
      <c r="D58">
        <v>3990</v>
      </c>
      <c r="E58">
        <v>1000</v>
      </c>
      <c r="F58" s="34">
        <v>2</v>
      </c>
      <c r="G58" s="34">
        <v>2</v>
      </c>
      <c r="H58" s="34" t="s">
        <v>90</v>
      </c>
      <c r="I58" s="34" t="s">
        <v>90</v>
      </c>
      <c r="J58" s="34" t="s">
        <v>90</v>
      </c>
      <c r="K58" s="34" t="s">
        <v>90</v>
      </c>
      <c r="L58" s="34" t="s">
        <v>90</v>
      </c>
      <c r="M58" s="34" t="s">
        <v>90</v>
      </c>
      <c r="N58">
        <v>75881</v>
      </c>
    </row>
    <row r="59" spans="1:14">
      <c r="A59">
        <f t="shared" si="0"/>
        <v>51876</v>
      </c>
      <c r="B59">
        <f t="shared" si="2"/>
        <v>56</v>
      </c>
      <c r="C59" s="63" t="s">
        <v>11</v>
      </c>
      <c r="D59">
        <v>1700</v>
      </c>
      <c r="E59">
        <v>635</v>
      </c>
      <c r="F59" s="34">
        <v>1</v>
      </c>
      <c r="G59" s="34">
        <v>1</v>
      </c>
      <c r="H59" s="34" t="s">
        <v>91</v>
      </c>
      <c r="I59" s="34" t="s">
        <v>90</v>
      </c>
      <c r="J59" s="34" t="s">
        <v>91</v>
      </c>
      <c r="K59" s="34" t="s">
        <v>91</v>
      </c>
      <c r="L59" s="34" t="s">
        <v>90</v>
      </c>
      <c r="M59" s="34" t="s">
        <v>91</v>
      </c>
      <c r="N59">
        <v>51876</v>
      </c>
    </row>
    <row r="60" spans="1:14">
      <c r="A60">
        <f t="shared" si="0"/>
        <v>49607</v>
      </c>
      <c r="B60">
        <f t="shared" si="2"/>
        <v>57</v>
      </c>
      <c r="C60" s="63" t="s">
        <v>11</v>
      </c>
      <c r="D60">
        <v>2800</v>
      </c>
      <c r="E60">
        <v>800</v>
      </c>
      <c r="F60" s="34">
        <v>2</v>
      </c>
      <c r="G60" s="34">
        <v>1</v>
      </c>
      <c r="H60" s="34" t="s">
        <v>91</v>
      </c>
      <c r="I60" s="34" t="s">
        <v>90</v>
      </c>
      <c r="J60" s="34" t="s">
        <v>90</v>
      </c>
      <c r="K60" s="34" t="s">
        <v>90</v>
      </c>
      <c r="L60" s="34" t="s">
        <v>91</v>
      </c>
      <c r="M60" s="34" t="s">
        <v>91</v>
      </c>
      <c r="N60">
        <v>49607</v>
      </c>
    </row>
    <row r="61" spans="1:14">
      <c r="A61">
        <f t="shared" si="0"/>
        <v>47149</v>
      </c>
      <c r="B61">
        <f t="shared" si="2"/>
        <v>58</v>
      </c>
      <c r="C61" s="63" t="s">
        <v>12</v>
      </c>
      <c r="D61">
        <v>3000</v>
      </c>
      <c r="E61">
        <v>1100</v>
      </c>
      <c r="F61" s="34">
        <v>2</v>
      </c>
      <c r="G61" s="34">
        <v>1</v>
      </c>
      <c r="H61" s="34" t="s">
        <v>90</v>
      </c>
      <c r="I61" s="34" t="s">
        <v>90</v>
      </c>
      <c r="J61" s="34" t="s">
        <v>90</v>
      </c>
      <c r="K61" s="34" t="s">
        <v>90</v>
      </c>
      <c r="L61" s="34" t="s">
        <v>90</v>
      </c>
      <c r="M61" s="34" t="s">
        <v>90</v>
      </c>
      <c r="N61">
        <v>47149</v>
      </c>
    </row>
    <row r="62" spans="1:14">
      <c r="A62">
        <f t="shared" si="0"/>
        <v>20818</v>
      </c>
      <c r="B62">
        <f t="shared" si="2"/>
        <v>59</v>
      </c>
      <c r="C62" s="63" t="s">
        <v>12</v>
      </c>
      <c r="D62">
        <v>2200</v>
      </c>
      <c r="E62">
        <v>725</v>
      </c>
      <c r="F62" s="34">
        <v>1</v>
      </c>
      <c r="G62" s="34">
        <v>1</v>
      </c>
      <c r="H62" s="34" t="s">
        <v>91</v>
      </c>
      <c r="I62" s="34" t="s">
        <v>90</v>
      </c>
      <c r="J62" s="34" t="s">
        <v>90</v>
      </c>
      <c r="K62" s="34" t="s">
        <v>90</v>
      </c>
      <c r="L62" s="34" t="s">
        <v>91</v>
      </c>
      <c r="M62" s="34" t="s">
        <v>91</v>
      </c>
      <c r="N62">
        <v>20818</v>
      </c>
    </row>
    <row r="63" spans="1:14">
      <c r="A63">
        <f t="shared" si="0"/>
        <v>36537</v>
      </c>
      <c r="B63">
        <f t="shared" si="2"/>
        <v>60</v>
      </c>
      <c r="C63" s="63" t="s">
        <v>78</v>
      </c>
      <c r="D63">
        <v>1995</v>
      </c>
      <c r="E63">
        <v>500</v>
      </c>
      <c r="F63" s="34">
        <v>0</v>
      </c>
      <c r="G63" s="34">
        <v>1</v>
      </c>
      <c r="H63" s="34" t="s">
        <v>90</v>
      </c>
      <c r="I63" s="34" t="s">
        <v>90</v>
      </c>
      <c r="J63" s="34" t="s">
        <v>90</v>
      </c>
      <c r="K63" s="34" t="s">
        <v>90</v>
      </c>
      <c r="L63" s="34" t="s">
        <v>91</v>
      </c>
      <c r="M63" s="34" t="s">
        <v>91</v>
      </c>
      <c r="N63">
        <v>36537</v>
      </c>
    </row>
    <row r="64" spans="1:14">
      <c r="A64">
        <f t="shared" si="0"/>
        <v>60284</v>
      </c>
      <c r="B64">
        <f t="shared" si="2"/>
        <v>61</v>
      </c>
      <c r="C64" s="63" t="s">
        <v>78</v>
      </c>
      <c r="D64">
        <v>2599</v>
      </c>
      <c r="E64">
        <v>625</v>
      </c>
      <c r="F64" s="34">
        <v>1</v>
      </c>
      <c r="G64" s="34">
        <v>1</v>
      </c>
      <c r="H64" s="34" t="s">
        <v>91</v>
      </c>
      <c r="I64" s="34" t="s">
        <v>90</v>
      </c>
      <c r="J64" s="34" t="s">
        <v>90</v>
      </c>
      <c r="K64" s="34" t="s">
        <v>90</v>
      </c>
      <c r="L64" s="34" t="s">
        <v>90</v>
      </c>
      <c r="M64" s="34" t="s">
        <v>91</v>
      </c>
      <c r="N64">
        <v>60284</v>
      </c>
    </row>
    <row r="65" spans="1:14">
      <c r="A65">
        <f t="shared" si="0"/>
        <v>26164</v>
      </c>
      <c r="B65">
        <f t="shared" si="2"/>
        <v>62</v>
      </c>
      <c r="C65" s="63" t="s">
        <v>108</v>
      </c>
      <c r="D65">
        <v>2795</v>
      </c>
      <c r="E65">
        <v>686</v>
      </c>
      <c r="F65" s="34">
        <v>1</v>
      </c>
      <c r="G65" s="34">
        <v>1</v>
      </c>
      <c r="H65" s="34" t="s">
        <v>91</v>
      </c>
      <c r="I65" s="34" t="s">
        <v>90</v>
      </c>
      <c r="J65" s="34" t="s">
        <v>90</v>
      </c>
      <c r="K65" s="34" t="s">
        <v>90</v>
      </c>
      <c r="L65" s="34" t="s">
        <v>90</v>
      </c>
      <c r="M65" s="34" t="s">
        <v>90</v>
      </c>
      <c r="N65">
        <v>26164</v>
      </c>
    </row>
    <row r="66" spans="1:14">
      <c r="A66">
        <f t="shared" si="0"/>
        <v>74956</v>
      </c>
      <c r="B66">
        <f t="shared" si="2"/>
        <v>63</v>
      </c>
      <c r="C66" s="63" t="s">
        <v>108</v>
      </c>
      <c r="D66">
        <v>3900</v>
      </c>
      <c r="E66">
        <v>1800</v>
      </c>
      <c r="F66" s="34">
        <v>2</v>
      </c>
      <c r="G66" s="34">
        <v>2</v>
      </c>
      <c r="H66" s="34" t="s">
        <v>90</v>
      </c>
      <c r="I66" s="34" t="s">
        <v>90</v>
      </c>
      <c r="J66" s="34" t="s">
        <v>90</v>
      </c>
      <c r="K66" s="34" t="s">
        <v>90</v>
      </c>
      <c r="L66" s="34" t="s">
        <v>90</v>
      </c>
      <c r="M66" s="34" t="s">
        <v>91</v>
      </c>
      <c r="N66">
        <v>74956</v>
      </c>
    </row>
    <row r="67" spans="1:14">
      <c r="A67">
        <f t="shared" si="0"/>
        <v>33839</v>
      </c>
      <c r="B67">
        <f t="shared" si="2"/>
        <v>64</v>
      </c>
      <c r="C67" s="63" t="s">
        <v>10</v>
      </c>
      <c r="D67">
        <v>2500</v>
      </c>
      <c r="E67">
        <v>700</v>
      </c>
      <c r="F67" s="34">
        <v>1</v>
      </c>
      <c r="G67" s="34">
        <v>1</v>
      </c>
      <c r="H67" s="34" t="s">
        <v>90</v>
      </c>
      <c r="I67" s="34" t="s">
        <v>90</v>
      </c>
      <c r="J67" s="34" t="s">
        <v>90</v>
      </c>
      <c r="K67" s="34" t="s">
        <v>90</v>
      </c>
      <c r="L67" s="34" t="s">
        <v>90</v>
      </c>
      <c r="M67" s="34" t="s">
        <v>91</v>
      </c>
      <c r="N67">
        <v>33839</v>
      </c>
    </row>
    <row r="68" spans="1:14">
      <c r="A68">
        <f t="shared" si="0"/>
        <v>95895</v>
      </c>
      <c r="B68">
        <f t="shared" si="2"/>
        <v>65</v>
      </c>
      <c r="C68" s="63" t="s">
        <v>10</v>
      </c>
      <c r="D68">
        <v>2500</v>
      </c>
      <c r="E68">
        <v>750</v>
      </c>
      <c r="F68" s="34">
        <v>2</v>
      </c>
      <c r="G68" s="34">
        <v>1</v>
      </c>
      <c r="H68" s="34" t="s">
        <v>91</v>
      </c>
      <c r="I68" s="34" t="s">
        <v>90</v>
      </c>
      <c r="J68" s="34" t="s">
        <v>91</v>
      </c>
      <c r="K68" s="34" t="s">
        <v>91</v>
      </c>
      <c r="L68" s="34" t="s">
        <v>91</v>
      </c>
      <c r="M68" s="34" t="s">
        <v>91</v>
      </c>
      <c r="N68">
        <v>95895</v>
      </c>
    </row>
    <row r="69" spans="1:14">
      <c r="A69">
        <f t="shared" ref="A69:A132" si="6">N69</f>
        <v>61656</v>
      </c>
      <c r="B69">
        <f t="shared" si="2"/>
        <v>66</v>
      </c>
      <c r="C69" s="63" t="s">
        <v>9</v>
      </c>
      <c r="D69">
        <v>1702</v>
      </c>
      <c r="E69">
        <v>550</v>
      </c>
      <c r="F69" s="34">
        <v>1</v>
      </c>
      <c r="G69" s="34">
        <v>1</v>
      </c>
      <c r="H69" s="34" t="s">
        <v>90</v>
      </c>
      <c r="I69" s="34" t="s">
        <v>91</v>
      </c>
      <c r="J69" s="34" t="s">
        <v>91</v>
      </c>
      <c r="K69" s="34" t="s">
        <v>91</v>
      </c>
      <c r="L69" s="34" t="s">
        <v>90</v>
      </c>
      <c r="M69" s="34" t="s">
        <v>91</v>
      </c>
      <c r="N69">
        <v>61656</v>
      </c>
    </row>
    <row r="70" spans="1:14">
      <c r="A70">
        <f t="shared" si="6"/>
        <v>27585</v>
      </c>
      <c r="B70">
        <f t="shared" ref="B70:B133" si="7">B69+1</f>
        <v>67</v>
      </c>
      <c r="C70" s="63" t="s">
        <v>9</v>
      </c>
      <c r="D70">
        <v>2000</v>
      </c>
      <c r="E70">
        <v>625</v>
      </c>
      <c r="F70" s="34">
        <v>1</v>
      </c>
      <c r="G70" s="34">
        <v>1</v>
      </c>
      <c r="H70" s="34" t="s">
        <v>91</v>
      </c>
      <c r="I70" s="34" t="s">
        <v>91</v>
      </c>
      <c r="J70" s="34" t="s">
        <v>90</v>
      </c>
      <c r="K70" s="34" t="s">
        <v>91</v>
      </c>
      <c r="L70" s="34" t="s">
        <v>90</v>
      </c>
      <c r="M70" s="34" t="s">
        <v>91</v>
      </c>
      <c r="N70">
        <v>27585</v>
      </c>
    </row>
    <row r="71" spans="1:14">
      <c r="A71">
        <f t="shared" si="6"/>
        <v>57644</v>
      </c>
      <c r="B71">
        <f t="shared" si="7"/>
        <v>68</v>
      </c>
      <c r="C71" s="63" t="s">
        <v>9</v>
      </c>
      <c r="D71">
        <v>1700</v>
      </c>
      <c r="E71">
        <v>500</v>
      </c>
      <c r="F71" s="34">
        <v>0</v>
      </c>
      <c r="G71" s="34">
        <v>1</v>
      </c>
      <c r="H71" s="34" t="s">
        <v>91</v>
      </c>
      <c r="I71" s="34" t="s">
        <v>91</v>
      </c>
      <c r="J71" s="34" t="s">
        <v>91</v>
      </c>
      <c r="K71" s="34" t="s">
        <v>91</v>
      </c>
      <c r="L71" s="34" t="s">
        <v>91</v>
      </c>
      <c r="M71" s="34" t="s">
        <v>91</v>
      </c>
      <c r="N71">
        <v>57644</v>
      </c>
    </row>
    <row r="72" spans="1:14">
      <c r="A72">
        <f t="shared" si="6"/>
        <v>24774</v>
      </c>
      <c r="B72">
        <f t="shared" si="7"/>
        <v>69</v>
      </c>
      <c r="C72" s="63" t="s">
        <v>9</v>
      </c>
      <c r="D72">
        <v>3500</v>
      </c>
      <c r="E72">
        <v>1000</v>
      </c>
      <c r="F72" s="34">
        <v>2</v>
      </c>
      <c r="G72" s="34">
        <v>1</v>
      </c>
      <c r="H72" s="34" t="s">
        <v>91</v>
      </c>
      <c r="I72" s="34" t="s">
        <v>90</v>
      </c>
      <c r="J72" s="34" t="s">
        <v>90</v>
      </c>
      <c r="K72" s="34" t="s">
        <v>90</v>
      </c>
      <c r="L72" s="34" t="s">
        <v>91</v>
      </c>
      <c r="M72" s="34" t="s">
        <v>90</v>
      </c>
      <c r="N72">
        <v>24774</v>
      </c>
    </row>
    <row r="73" spans="1:14">
      <c r="A73">
        <f t="shared" si="6"/>
        <v>47451</v>
      </c>
      <c r="B73">
        <f t="shared" si="7"/>
        <v>70</v>
      </c>
      <c r="C73" s="63" t="s">
        <v>9</v>
      </c>
      <c r="D73">
        <v>2950</v>
      </c>
      <c r="E73">
        <v>1000</v>
      </c>
      <c r="F73" s="34">
        <v>2</v>
      </c>
      <c r="G73" s="34">
        <v>1</v>
      </c>
      <c r="H73" s="34" t="s">
        <v>91</v>
      </c>
      <c r="I73" s="34" t="s">
        <v>90</v>
      </c>
      <c r="J73" s="34" t="s">
        <v>90</v>
      </c>
      <c r="K73" s="34" t="s">
        <v>90</v>
      </c>
      <c r="L73" s="34" t="s">
        <v>91</v>
      </c>
      <c r="M73" s="34" t="s">
        <v>91</v>
      </c>
      <c r="N73">
        <v>47451</v>
      </c>
    </row>
    <row r="74" spans="1:14">
      <c r="A74">
        <f t="shared" si="6"/>
        <v>47734</v>
      </c>
      <c r="B74">
        <f t="shared" si="7"/>
        <v>71</v>
      </c>
      <c r="C74" s="63" t="s">
        <v>58</v>
      </c>
      <c r="D74">
        <v>3995</v>
      </c>
      <c r="E74">
        <v>815</v>
      </c>
      <c r="F74" s="34">
        <v>2</v>
      </c>
      <c r="G74" s="34">
        <v>1</v>
      </c>
      <c r="H74" s="34" t="s">
        <v>91</v>
      </c>
      <c r="I74" s="34" t="s">
        <v>90</v>
      </c>
      <c r="J74" s="34" t="s">
        <v>90</v>
      </c>
      <c r="K74" s="34" t="s">
        <v>91</v>
      </c>
      <c r="L74" s="34" t="s">
        <v>90</v>
      </c>
      <c r="M74" s="34" t="s">
        <v>91</v>
      </c>
      <c r="N74">
        <v>47734</v>
      </c>
    </row>
    <row r="75" spans="1:14">
      <c r="A75">
        <f t="shared" si="6"/>
        <v>29864</v>
      </c>
      <c r="B75">
        <f t="shared" si="7"/>
        <v>72</v>
      </c>
      <c r="C75" s="63" t="s">
        <v>58</v>
      </c>
      <c r="D75">
        <v>2500</v>
      </c>
      <c r="E75">
        <v>600</v>
      </c>
      <c r="F75" s="34">
        <v>0</v>
      </c>
      <c r="G75" s="34">
        <v>1</v>
      </c>
      <c r="H75" s="34" t="s">
        <v>90</v>
      </c>
      <c r="I75" s="34" t="s">
        <v>90</v>
      </c>
      <c r="J75" s="34" t="s">
        <v>90</v>
      </c>
      <c r="K75" s="34" t="s">
        <v>90</v>
      </c>
      <c r="L75" s="34" t="s">
        <v>90</v>
      </c>
      <c r="M75" s="34" t="s">
        <v>91</v>
      </c>
      <c r="N75">
        <v>29864</v>
      </c>
    </row>
    <row r="76" spans="1:14">
      <c r="A76">
        <f t="shared" si="6"/>
        <v>98378</v>
      </c>
      <c r="B76">
        <f t="shared" si="7"/>
        <v>73</v>
      </c>
      <c r="C76" s="63" t="s">
        <v>58</v>
      </c>
      <c r="D76">
        <v>3400</v>
      </c>
      <c r="E76">
        <v>620</v>
      </c>
      <c r="F76" s="34">
        <v>1</v>
      </c>
      <c r="G76" s="34">
        <v>1</v>
      </c>
      <c r="H76" s="34" t="s">
        <v>90</v>
      </c>
      <c r="I76" s="34" t="s">
        <v>90</v>
      </c>
      <c r="J76" s="34" t="s">
        <v>90</v>
      </c>
      <c r="K76" s="34" t="s">
        <v>90</v>
      </c>
      <c r="L76" s="34" t="s">
        <v>91</v>
      </c>
      <c r="M76" s="34" t="s">
        <v>91</v>
      </c>
      <c r="N76">
        <v>98378</v>
      </c>
    </row>
    <row r="77" spans="1:14">
      <c r="A77">
        <f t="shared" si="6"/>
        <v>27546</v>
      </c>
      <c r="B77">
        <f t="shared" si="7"/>
        <v>74</v>
      </c>
      <c r="C77" s="63" t="s">
        <v>3</v>
      </c>
      <c r="D77">
        <v>2495</v>
      </c>
      <c r="E77">
        <v>600</v>
      </c>
      <c r="F77" s="34">
        <v>1</v>
      </c>
      <c r="G77" s="34">
        <v>1</v>
      </c>
      <c r="H77" s="34" t="s">
        <v>91</v>
      </c>
      <c r="I77" s="34" t="s">
        <v>91</v>
      </c>
      <c r="J77" s="34" t="s">
        <v>91</v>
      </c>
      <c r="K77" s="34" t="s">
        <v>91</v>
      </c>
      <c r="L77" s="34" t="s">
        <v>91</v>
      </c>
      <c r="M77" s="34" t="s">
        <v>91</v>
      </c>
      <c r="N77">
        <v>27546</v>
      </c>
    </row>
    <row r="78" spans="1:14">
      <c r="A78">
        <f t="shared" si="6"/>
        <v>61400</v>
      </c>
      <c r="B78">
        <f t="shared" si="7"/>
        <v>75</v>
      </c>
      <c r="C78" s="63" t="s">
        <v>3</v>
      </c>
      <c r="D78">
        <v>3550</v>
      </c>
      <c r="E78">
        <v>700</v>
      </c>
      <c r="F78" s="34">
        <v>2</v>
      </c>
      <c r="G78" s="34">
        <v>1</v>
      </c>
      <c r="H78" s="34" t="s">
        <v>91</v>
      </c>
      <c r="I78" s="34" t="s">
        <v>90</v>
      </c>
      <c r="J78" s="34" t="s">
        <v>91</v>
      </c>
      <c r="K78" s="34" t="s">
        <v>91</v>
      </c>
      <c r="L78" s="34" t="s">
        <v>91</v>
      </c>
      <c r="M78" s="34" t="s">
        <v>91</v>
      </c>
      <c r="N78">
        <v>61400</v>
      </c>
    </row>
    <row r="79" spans="1:14">
      <c r="A79">
        <f t="shared" si="6"/>
        <v>45777</v>
      </c>
      <c r="B79">
        <f t="shared" si="7"/>
        <v>76</v>
      </c>
      <c r="C79" s="63" t="s">
        <v>3</v>
      </c>
      <c r="D79">
        <v>1895</v>
      </c>
      <c r="E79">
        <v>500</v>
      </c>
      <c r="F79" s="34">
        <v>0</v>
      </c>
      <c r="G79" s="34">
        <v>1</v>
      </c>
      <c r="H79" s="34" t="s">
        <v>91</v>
      </c>
      <c r="I79" s="34" t="s">
        <v>91</v>
      </c>
      <c r="J79" s="34" t="s">
        <v>91</v>
      </c>
      <c r="K79" s="34" t="s">
        <v>91</v>
      </c>
      <c r="L79" s="34" t="s">
        <v>91</v>
      </c>
      <c r="M79" s="34" t="s">
        <v>91</v>
      </c>
      <c r="N79">
        <v>45777</v>
      </c>
    </row>
    <row r="80" spans="1:14">
      <c r="A80">
        <f t="shared" si="6"/>
        <v>83441</v>
      </c>
      <c r="B80">
        <f t="shared" si="7"/>
        <v>77</v>
      </c>
      <c r="C80" s="63" t="s">
        <v>3</v>
      </c>
      <c r="D80">
        <v>3095</v>
      </c>
      <c r="E80">
        <v>650</v>
      </c>
      <c r="F80" s="34">
        <v>1</v>
      </c>
      <c r="G80" s="34">
        <v>1</v>
      </c>
      <c r="H80" s="34" t="s">
        <v>91</v>
      </c>
      <c r="I80" s="34" t="s">
        <v>90</v>
      </c>
      <c r="J80" s="34" t="s">
        <v>91</v>
      </c>
      <c r="K80" s="34" t="s">
        <v>91</v>
      </c>
      <c r="L80" s="34" t="s">
        <v>91</v>
      </c>
      <c r="M80" s="34" t="s">
        <v>91</v>
      </c>
      <c r="N80">
        <v>83441</v>
      </c>
    </row>
    <row r="81" spans="1:14">
      <c r="A81">
        <f t="shared" si="6"/>
        <v>62779</v>
      </c>
      <c r="B81">
        <f t="shared" si="7"/>
        <v>78</v>
      </c>
      <c r="C81" s="63" t="s">
        <v>7</v>
      </c>
      <c r="D81">
        <v>3500</v>
      </c>
      <c r="E81">
        <v>625</v>
      </c>
      <c r="F81" s="34">
        <v>1</v>
      </c>
      <c r="G81" s="34">
        <v>1</v>
      </c>
      <c r="H81" s="34" t="s">
        <v>90</v>
      </c>
      <c r="I81" s="34" t="s">
        <v>90</v>
      </c>
      <c r="J81" s="34" t="s">
        <v>90</v>
      </c>
      <c r="K81" s="34" t="s">
        <v>90</v>
      </c>
      <c r="L81" s="34" t="s">
        <v>90</v>
      </c>
      <c r="M81" s="34" t="s">
        <v>91</v>
      </c>
      <c r="N81">
        <v>62779</v>
      </c>
    </row>
    <row r="82" spans="1:14">
      <c r="A82">
        <f t="shared" si="6"/>
        <v>48637</v>
      </c>
      <c r="B82">
        <f t="shared" si="7"/>
        <v>79</v>
      </c>
      <c r="C82" s="63" t="s">
        <v>7</v>
      </c>
      <c r="D82">
        <v>3995</v>
      </c>
      <c r="E82">
        <v>850</v>
      </c>
      <c r="F82" s="34">
        <v>1</v>
      </c>
      <c r="G82" s="34">
        <v>1</v>
      </c>
      <c r="H82" s="34" t="s">
        <v>91</v>
      </c>
      <c r="I82" s="34" t="s">
        <v>90</v>
      </c>
      <c r="J82" s="34" t="s">
        <v>90</v>
      </c>
      <c r="K82" s="34" t="s">
        <v>90</v>
      </c>
      <c r="L82" s="34" t="s">
        <v>90</v>
      </c>
      <c r="M82" s="34" t="s">
        <v>90</v>
      </c>
      <c r="N82">
        <v>48637</v>
      </c>
    </row>
    <row r="83" spans="1:14">
      <c r="A83">
        <f t="shared" si="6"/>
        <v>53884</v>
      </c>
      <c r="B83">
        <f t="shared" si="7"/>
        <v>80</v>
      </c>
      <c r="C83" s="63" t="s">
        <v>7</v>
      </c>
      <c r="D83">
        <v>4625</v>
      </c>
      <c r="E83">
        <v>1036</v>
      </c>
      <c r="F83" s="34">
        <v>2</v>
      </c>
      <c r="G83" s="34">
        <v>2</v>
      </c>
      <c r="H83" s="34" t="s">
        <v>90</v>
      </c>
      <c r="I83" s="34" t="s">
        <v>90</v>
      </c>
      <c r="J83" s="34" t="s">
        <v>90</v>
      </c>
      <c r="K83" s="34" t="s">
        <v>90</v>
      </c>
      <c r="L83" s="34" t="s">
        <v>90</v>
      </c>
      <c r="M83" s="34" t="s">
        <v>90</v>
      </c>
      <c r="N83">
        <v>53884</v>
      </c>
    </row>
    <row r="84" spans="1:14">
      <c r="A84">
        <f t="shared" si="6"/>
        <v>93728</v>
      </c>
      <c r="B84">
        <f t="shared" si="7"/>
        <v>81</v>
      </c>
      <c r="C84" s="63" t="s">
        <v>7</v>
      </c>
      <c r="D84">
        <v>5000</v>
      </c>
      <c r="E84">
        <v>1300</v>
      </c>
      <c r="F84" s="34">
        <v>2</v>
      </c>
      <c r="G84" s="34">
        <v>1</v>
      </c>
      <c r="H84" s="34" t="s">
        <v>91</v>
      </c>
      <c r="I84" s="34" t="s">
        <v>90</v>
      </c>
      <c r="J84" s="34" t="s">
        <v>90</v>
      </c>
      <c r="K84" s="34" t="s">
        <v>90</v>
      </c>
      <c r="L84" s="34" t="s">
        <v>91</v>
      </c>
      <c r="M84" s="34" t="s">
        <v>90</v>
      </c>
      <c r="N84">
        <v>93728</v>
      </c>
    </row>
    <row r="85" spans="1:14">
      <c r="A85">
        <f t="shared" si="6"/>
        <v>34789</v>
      </c>
      <c r="B85">
        <f t="shared" si="7"/>
        <v>82</v>
      </c>
      <c r="C85" s="63" t="s">
        <v>7</v>
      </c>
      <c r="D85">
        <v>2500</v>
      </c>
      <c r="E85">
        <v>500</v>
      </c>
      <c r="F85" s="34">
        <v>0</v>
      </c>
      <c r="G85" s="34">
        <v>1</v>
      </c>
      <c r="H85" s="34" t="s">
        <v>90</v>
      </c>
      <c r="I85" s="34" t="s">
        <v>90</v>
      </c>
      <c r="J85" s="34" t="s">
        <v>90</v>
      </c>
      <c r="K85" s="34" t="s">
        <v>90</v>
      </c>
      <c r="L85" s="34" t="s">
        <v>91</v>
      </c>
      <c r="M85" s="34" t="s">
        <v>91</v>
      </c>
      <c r="N85">
        <v>34789</v>
      </c>
    </row>
    <row r="86" spans="1:14">
      <c r="A86">
        <f t="shared" si="6"/>
        <v>90790</v>
      </c>
      <c r="B86">
        <f t="shared" si="7"/>
        <v>83</v>
      </c>
      <c r="C86" s="63" t="s">
        <v>7</v>
      </c>
      <c r="D86">
        <v>3100</v>
      </c>
      <c r="E86">
        <v>710</v>
      </c>
      <c r="F86" s="34">
        <v>1</v>
      </c>
      <c r="G86" s="34">
        <v>1</v>
      </c>
      <c r="H86" s="34" t="s">
        <v>90</v>
      </c>
      <c r="I86" s="34" t="s">
        <v>90</v>
      </c>
      <c r="J86" s="34" t="s">
        <v>90</v>
      </c>
      <c r="K86" s="34" t="s">
        <v>90</v>
      </c>
      <c r="L86" s="34" t="s">
        <v>91</v>
      </c>
      <c r="M86" s="34" t="s">
        <v>91</v>
      </c>
      <c r="N86">
        <v>90790</v>
      </c>
    </row>
    <row r="87" spans="1:14">
      <c r="A87">
        <f t="shared" si="6"/>
        <v>71605</v>
      </c>
      <c r="B87">
        <f t="shared" si="7"/>
        <v>84</v>
      </c>
      <c r="C87" s="63" t="s">
        <v>8</v>
      </c>
      <c r="D87">
        <v>1900</v>
      </c>
      <c r="E87">
        <v>750</v>
      </c>
      <c r="F87" s="34">
        <v>1</v>
      </c>
      <c r="G87" s="34">
        <v>1</v>
      </c>
      <c r="H87" s="34" t="s">
        <v>91</v>
      </c>
      <c r="I87" s="34" t="s">
        <v>91</v>
      </c>
      <c r="J87" s="34" t="s">
        <v>91</v>
      </c>
      <c r="K87" s="34" t="s">
        <v>91</v>
      </c>
      <c r="L87" s="34" t="s">
        <v>91</v>
      </c>
      <c r="M87" s="34" t="s">
        <v>91</v>
      </c>
      <c r="N87">
        <v>71605</v>
      </c>
    </row>
    <row r="88" spans="1:14">
      <c r="A88">
        <f t="shared" si="6"/>
        <v>18090</v>
      </c>
      <c r="B88">
        <f t="shared" si="7"/>
        <v>85</v>
      </c>
      <c r="C88" s="63" t="s">
        <v>8</v>
      </c>
      <c r="D88">
        <v>2500</v>
      </c>
      <c r="E88">
        <v>700</v>
      </c>
      <c r="F88" s="34">
        <v>2</v>
      </c>
      <c r="G88" s="34">
        <v>2</v>
      </c>
      <c r="H88" s="34" t="s">
        <v>90</v>
      </c>
      <c r="I88" s="34" t="s">
        <v>90</v>
      </c>
      <c r="J88" s="34" t="s">
        <v>90</v>
      </c>
      <c r="K88" s="34" t="s">
        <v>90</v>
      </c>
      <c r="L88" s="34" t="s">
        <v>91</v>
      </c>
      <c r="M88" s="34" t="s">
        <v>91</v>
      </c>
      <c r="N88">
        <v>18090</v>
      </c>
    </row>
    <row r="89" spans="1:14">
      <c r="A89">
        <f t="shared" si="6"/>
        <v>68538</v>
      </c>
      <c r="B89">
        <f t="shared" si="7"/>
        <v>86</v>
      </c>
      <c r="C89" s="64" t="s">
        <v>60</v>
      </c>
      <c r="D89" s="81">
        <v>4500</v>
      </c>
      <c r="E89">
        <v>750</v>
      </c>
      <c r="F89" s="34">
        <v>1</v>
      </c>
      <c r="G89" s="34">
        <v>1</v>
      </c>
      <c r="H89" s="34" t="s">
        <v>91</v>
      </c>
      <c r="I89" s="34" t="s">
        <v>90</v>
      </c>
      <c r="J89" s="34" t="s">
        <v>90</v>
      </c>
      <c r="K89" s="34" t="s">
        <v>90</v>
      </c>
      <c r="L89" s="34" t="s">
        <v>90</v>
      </c>
      <c r="M89" s="34" t="s">
        <v>91</v>
      </c>
      <c r="N89">
        <v>68538</v>
      </c>
    </row>
    <row r="90" spans="1:14">
      <c r="A90">
        <f t="shared" si="6"/>
        <v>36640</v>
      </c>
      <c r="B90">
        <f t="shared" si="7"/>
        <v>87</v>
      </c>
      <c r="C90" s="64" t="s">
        <v>158</v>
      </c>
      <c r="D90" s="81">
        <v>2350</v>
      </c>
      <c r="E90">
        <v>500</v>
      </c>
      <c r="F90" s="34">
        <v>1</v>
      </c>
      <c r="G90" s="34">
        <v>1</v>
      </c>
      <c r="H90" s="34" t="s">
        <v>90</v>
      </c>
      <c r="I90" s="34" t="s">
        <v>90</v>
      </c>
      <c r="J90" s="34" t="s">
        <v>90</v>
      </c>
      <c r="K90" s="34" t="s">
        <v>90</v>
      </c>
      <c r="L90" s="34" t="s">
        <v>90</v>
      </c>
      <c r="M90" s="34" t="s">
        <v>90</v>
      </c>
      <c r="N90">
        <v>36640</v>
      </c>
    </row>
    <row r="91" spans="1:14">
      <c r="A91">
        <f t="shared" si="6"/>
        <v>30670</v>
      </c>
      <c r="B91">
        <f t="shared" si="7"/>
        <v>88</v>
      </c>
      <c r="C91" s="64" t="s">
        <v>158</v>
      </c>
      <c r="D91" s="81">
        <v>2999</v>
      </c>
      <c r="E91">
        <v>800</v>
      </c>
      <c r="F91" s="34">
        <v>1</v>
      </c>
      <c r="G91" s="34">
        <v>1</v>
      </c>
      <c r="H91" s="34" t="s">
        <v>91</v>
      </c>
      <c r="I91" s="34" t="s">
        <v>90</v>
      </c>
      <c r="J91" s="34" t="s">
        <v>90</v>
      </c>
      <c r="K91" s="34" t="s">
        <v>90</v>
      </c>
      <c r="L91" s="34" t="s">
        <v>90</v>
      </c>
      <c r="M91" s="34" t="s">
        <v>90</v>
      </c>
      <c r="N91">
        <v>30670</v>
      </c>
    </row>
    <row r="92" spans="1:14">
      <c r="A92">
        <f t="shared" si="6"/>
        <v>34294</v>
      </c>
      <c r="B92">
        <f t="shared" si="7"/>
        <v>89</v>
      </c>
      <c r="C92" s="65" t="s">
        <v>2</v>
      </c>
      <c r="D92" s="81">
        <v>2900</v>
      </c>
      <c r="E92">
        <v>700</v>
      </c>
      <c r="F92" s="34">
        <v>1</v>
      </c>
      <c r="G92" s="34">
        <v>1</v>
      </c>
      <c r="H92" s="34" t="s">
        <v>90</v>
      </c>
      <c r="I92" s="34" t="s">
        <v>90</v>
      </c>
      <c r="J92" s="34" t="s">
        <v>90</v>
      </c>
      <c r="K92" s="34" t="s">
        <v>90</v>
      </c>
      <c r="L92" s="34" t="s">
        <v>90</v>
      </c>
      <c r="M92" s="34" t="s">
        <v>91</v>
      </c>
      <c r="N92">
        <v>34294</v>
      </c>
    </row>
    <row r="93" spans="1:14">
      <c r="A93">
        <f t="shared" si="6"/>
        <v>52355</v>
      </c>
      <c r="B93">
        <f t="shared" si="7"/>
        <v>90</v>
      </c>
      <c r="C93" s="65" t="s">
        <v>2</v>
      </c>
      <c r="D93" s="81">
        <v>3490</v>
      </c>
      <c r="E93">
        <v>1020</v>
      </c>
      <c r="F93" s="34">
        <v>2</v>
      </c>
      <c r="G93" s="34">
        <v>2</v>
      </c>
      <c r="H93" s="34" t="s">
        <v>90</v>
      </c>
      <c r="I93" s="34" t="s">
        <v>90</v>
      </c>
      <c r="J93" s="34" t="s">
        <v>90</v>
      </c>
      <c r="K93" s="34" t="s">
        <v>90</v>
      </c>
      <c r="L93" s="34" t="s">
        <v>91</v>
      </c>
      <c r="M93" s="34" t="s">
        <v>91</v>
      </c>
      <c r="N93">
        <v>52355</v>
      </c>
    </row>
    <row r="94" spans="1:14">
      <c r="A94">
        <f t="shared" si="6"/>
        <v>57853</v>
      </c>
      <c r="B94">
        <f t="shared" si="7"/>
        <v>91</v>
      </c>
      <c r="C94" s="65" t="s">
        <v>1</v>
      </c>
      <c r="D94" s="81">
        <v>2950</v>
      </c>
      <c r="E94">
        <v>600</v>
      </c>
      <c r="F94" s="34">
        <v>1</v>
      </c>
      <c r="G94" s="34">
        <v>1</v>
      </c>
      <c r="H94" s="34" t="s">
        <v>90</v>
      </c>
      <c r="I94" s="34" t="s">
        <v>90</v>
      </c>
      <c r="J94" s="34" t="s">
        <v>90</v>
      </c>
      <c r="K94" s="34" t="s">
        <v>90</v>
      </c>
      <c r="L94" s="34" t="s">
        <v>90</v>
      </c>
      <c r="M94" s="34" t="s">
        <v>91</v>
      </c>
      <c r="N94">
        <v>57853</v>
      </c>
    </row>
    <row r="95" spans="1:14">
      <c r="A95">
        <f t="shared" si="6"/>
        <v>22243</v>
      </c>
      <c r="B95">
        <f t="shared" si="7"/>
        <v>92</v>
      </c>
      <c r="C95" s="65" t="s">
        <v>1</v>
      </c>
      <c r="D95" s="81">
        <v>4600</v>
      </c>
      <c r="E95">
        <v>1200</v>
      </c>
      <c r="F95" s="34">
        <v>2</v>
      </c>
      <c r="G95" s="34">
        <v>2</v>
      </c>
      <c r="H95" s="34" t="s">
        <v>90</v>
      </c>
      <c r="I95" s="34" t="s">
        <v>90</v>
      </c>
      <c r="J95" s="34" t="s">
        <v>90</v>
      </c>
      <c r="K95" s="34" t="s">
        <v>90</v>
      </c>
      <c r="L95" s="34" t="s">
        <v>90</v>
      </c>
      <c r="M95" s="34" t="s">
        <v>90</v>
      </c>
      <c r="N95">
        <v>22243</v>
      </c>
    </row>
    <row r="96" spans="1:14">
      <c r="A96">
        <f t="shared" si="6"/>
        <v>77533</v>
      </c>
      <c r="B96">
        <f t="shared" si="7"/>
        <v>93</v>
      </c>
      <c r="C96" s="65" t="s">
        <v>1</v>
      </c>
      <c r="D96" s="81">
        <v>1725</v>
      </c>
      <c r="E96">
        <v>425</v>
      </c>
      <c r="F96" s="34">
        <v>0</v>
      </c>
      <c r="G96" s="34">
        <v>1</v>
      </c>
      <c r="H96" s="34" t="s">
        <v>91</v>
      </c>
      <c r="I96" s="34" t="s">
        <v>90</v>
      </c>
      <c r="J96" s="34" t="s">
        <v>90</v>
      </c>
      <c r="K96" s="34" t="s">
        <v>90</v>
      </c>
      <c r="L96" s="34" t="s">
        <v>90</v>
      </c>
      <c r="M96" s="34" t="s">
        <v>91</v>
      </c>
      <c r="N96">
        <v>77533</v>
      </c>
    </row>
    <row r="97" spans="1:14">
      <c r="A97">
        <f t="shared" si="6"/>
        <v>16430</v>
      </c>
      <c r="B97">
        <f t="shared" si="7"/>
        <v>94</v>
      </c>
      <c r="C97" s="65" t="s">
        <v>1</v>
      </c>
      <c r="D97" s="81">
        <v>2450</v>
      </c>
      <c r="E97">
        <v>671</v>
      </c>
      <c r="F97" s="34">
        <v>1</v>
      </c>
      <c r="G97" s="34">
        <v>1</v>
      </c>
      <c r="H97" s="34" t="s">
        <v>91</v>
      </c>
      <c r="I97" s="34" t="s">
        <v>90</v>
      </c>
      <c r="J97" s="34" t="s">
        <v>90</v>
      </c>
      <c r="K97" s="34" t="s">
        <v>90</v>
      </c>
      <c r="L97" s="34" t="s">
        <v>90</v>
      </c>
      <c r="M97" s="34" t="s">
        <v>91</v>
      </c>
      <c r="N97">
        <v>16430</v>
      </c>
    </row>
    <row r="98" spans="1:14">
      <c r="A98">
        <f t="shared" si="6"/>
        <v>14078</v>
      </c>
      <c r="B98">
        <f t="shared" si="7"/>
        <v>95</v>
      </c>
      <c r="C98" s="65" t="s">
        <v>61</v>
      </c>
      <c r="D98" s="81">
        <v>1840</v>
      </c>
      <c r="E98">
        <v>475</v>
      </c>
      <c r="F98" s="34">
        <v>0</v>
      </c>
      <c r="G98" s="34">
        <v>1</v>
      </c>
      <c r="H98" s="34" t="s">
        <v>91</v>
      </c>
      <c r="I98" s="34" t="s">
        <v>90</v>
      </c>
      <c r="J98" s="34" t="s">
        <v>90</v>
      </c>
      <c r="K98" s="34" t="s">
        <v>91</v>
      </c>
      <c r="L98" s="34" t="s">
        <v>90</v>
      </c>
      <c r="M98" s="34" t="s">
        <v>91</v>
      </c>
      <c r="N98">
        <v>14078</v>
      </c>
    </row>
    <row r="99" spans="1:14">
      <c r="A99">
        <f t="shared" si="6"/>
        <v>97236</v>
      </c>
      <c r="B99">
        <f t="shared" si="7"/>
        <v>96</v>
      </c>
      <c r="C99" s="65" t="s">
        <v>61</v>
      </c>
      <c r="D99" s="81">
        <v>2550</v>
      </c>
      <c r="E99">
        <v>750</v>
      </c>
      <c r="F99" s="34">
        <v>1</v>
      </c>
      <c r="G99" s="34">
        <v>1</v>
      </c>
      <c r="H99" s="34" t="s">
        <v>91</v>
      </c>
      <c r="I99" s="34" t="s">
        <v>90</v>
      </c>
      <c r="J99" s="34" t="s">
        <v>90</v>
      </c>
      <c r="K99" s="34" t="s">
        <v>90</v>
      </c>
      <c r="L99" s="34" t="s">
        <v>91</v>
      </c>
      <c r="M99" s="34" t="s">
        <v>90</v>
      </c>
      <c r="N99">
        <v>97236</v>
      </c>
    </row>
    <row r="100" spans="1:14">
      <c r="A100">
        <f t="shared" si="6"/>
        <v>38080</v>
      </c>
      <c r="B100">
        <f t="shared" si="7"/>
        <v>97</v>
      </c>
      <c r="C100" s="65" t="s">
        <v>0</v>
      </c>
      <c r="D100" s="81">
        <v>2250</v>
      </c>
      <c r="E100">
        <v>575</v>
      </c>
      <c r="F100" s="34">
        <v>1</v>
      </c>
      <c r="G100" s="34">
        <v>1</v>
      </c>
      <c r="H100" s="34" t="s">
        <v>90</v>
      </c>
      <c r="I100" s="34" t="s">
        <v>90</v>
      </c>
      <c r="J100" s="34" t="s">
        <v>90</v>
      </c>
      <c r="K100" s="34" t="s">
        <v>90</v>
      </c>
      <c r="L100" s="34" t="s">
        <v>91</v>
      </c>
      <c r="M100" s="34" t="s">
        <v>91</v>
      </c>
      <c r="N100">
        <v>38080</v>
      </c>
    </row>
    <row r="101" spans="1:14">
      <c r="A101">
        <f t="shared" si="6"/>
        <v>11113</v>
      </c>
      <c r="B101">
        <f t="shared" si="7"/>
        <v>98</v>
      </c>
      <c r="C101" s="65" t="s">
        <v>0</v>
      </c>
      <c r="D101" s="81">
        <v>2750</v>
      </c>
      <c r="E101">
        <v>700</v>
      </c>
      <c r="F101" s="34">
        <v>1</v>
      </c>
      <c r="G101" s="34">
        <v>1</v>
      </c>
      <c r="H101" s="34" t="s">
        <v>91</v>
      </c>
      <c r="I101" s="34" t="s">
        <v>90</v>
      </c>
      <c r="J101" s="34" t="s">
        <v>90</v>
      </c>
      <c r="K101" s="34" t="s">
        <v>90</v>
      </c>
      <c r="L101" s="34" t="s">
        <v>90</v>
      </c>
      <c r="M101" s="34" t="s">
        <v>91</v>
      </c>
      <c r="N101">
        <v>11113</v>
      </c>
    </row>
    <row r="102" spans="1:14">
      <c r="A102">
        <f t="shared" si="6"/>
        <v>54735</v>
      </c>
      <c r="B102">
        <f t="shared" si="7"/>
        <v>99</v>
      </c>
      <c r="C102" s="65" t="s">
        <v>159</v>
      </c>
      <c r="D102" s="81">
        <v>2600</v>
      </c>
      <c r="E102">
        <v>600</v>
      </c>
      <c r="F102" s="34">
        <v>1</v>
      </c>
      <c r="G102" s="34">
        <v>1</v>
      </c>
      <c r="H102" s="34" t="s">
        <v>90</v>
      </c>
      <c r="I102" s="34" t="s">
        <v>90</v>
      </c>
      <c r="J102" s="34" t="s">
        <v>90</v>
      </c>
      <c r="K102" s="34" t="s">
        <v>91</v>
      </c>
      <c r="L102" s="34" t="s">
        <v>90</v>
      </c>
      <c r="M102" s="34" t="s">
        <v>91</v>
      </c>
      <c r="N102">
        <v>54735</v>
      </c>
    </row>
    <row r="103" spans="1:14">
      <c r="A103">
        <f t="shared" si="6"/>
        <v>85070</v>
      </c>
      <c r="B103">
        <f t="shared" si="7"/>
        <v>100</v>
      </c>
      <c r="C103" s="65" t="s">
        <v>159</v>
      </c>
      <c r="D103" s="81">
        <v>3300</v>
      </c>
      <c r="E103">
        <v>790</v>
      </c>
      <c r="F103" s="34">
        <v>1</v>
      </c>
      <c r="G103" s="34">
        <v>1</v>
      </c>
      <c r="H103" s="34" t="s">
        <v>91</v>
      </c>
      <c r="I103" s="34" t="s">
        <v>90</v>
      </c>
      <c r="J103" s="34" t="s">
        <v>90</v>
      </c>
      <c r="K103" s="34" t="s">
        <v>90</v>
      </c>
      <c r="L103" s="34" t="s">
        <v>90</v>
      </c>
      <c r="M103" s="34" t="s">
        <v>91</v>
      </c>
      <c r="N103">
        <v>85070</v>
      </c>
    </row>
    <row r="104" spans="1:14">
      <c r="A104">
        <f t="shared" si="6"/>
        <v>38934</v>
      </c>
      <c r="B104">
        <f t="shared" si="7"/>
        <v>101</v>
      </c>
      <c r="C104" s="66" t="s">
        <v>155</v>
      </c>
      <c r="D104">
        <v>3350</v>
      </c>
      <c r="E104">
        <v>790</v>
      </c>
      <c r="F104" s="34">
        <v>1</v>
      </c>
      <c r="G104" s="34">
        <v>1</v>
      </c>
      <c r="H104" s="34" t="s">
        <v>91</v>
      </c>
      <c r="I104" s="34" t="s">
        <v>90</v>
      </c>
      <c r="J104" s="34" t="s">
        <v>90</v>
      </c>
      <c r="K104" s="34" t="s">
        <v>90</v>
      </c>
      <c r="L104" s="34" t="s">
        <v>91</v>
      </c>
      <c r="M104" s="34" t="s">
        <v>91</v>
      </c>
      <c r="N104">
        <v>38934</v>
      </c>
    </row>
    <row r="105" spans="1:14">
      <c r="A105">
        <f t="shared" si="6"/>
        <v>63180</v>
      </c>
      <c r="B105">
        <f t="shared" si="7"/>
        <v>102</v>
      </c>
      <c r="C105" s="66" t="s">
        <v>155</v>
      </c>
      <c r="D105">
        <v>2725</v>
      </c>
      <c r="E105">
        <v>650</v>
      </c>
      <c r="F105" s="34">
        <v>0</v>
      </c>
      <c r="G105" s="34">
        <v>1</v>
      </c>
      <c r="H105" s="34" t="s">
        <v>91</v>
      </c>
      <c r="I105" s="34" t="s">
        <v>90</v>
      </c>
      <c r="J105" s="34" t="s">
        <v>90</v>
      </c>
      <c r="K105" s="34" t="s">
        <v>90</v>
      </c>
      <c r="L105" s="34" t="s">
        <v>90</v>
      </c>
      <c r="M105" s="34" t="s">
        <v>91</v>
      </c>
      <c r="N105">
        <v>63180</v>
      </c>
    </row>
    <row r="106" spans="1:14">
      <c r="A106">
        <f t="shared" si="6"/>
        <v>91777</v>
      </c>
      <c r="B106">
        <f t="shared" si="7"/>
        <v>103</v>
      </c>
      <c r="C106" s="66" t="s">
        <v>155</v>
      </c>
      <c r="D106">
        <v>3500</v>
      </c>
      <c r="E106">
        <v>805</v>
      </c>
      <c r="F106" s="34">
        <v>1</v>
      </c>
      <c r="G106" s="34">
        <v>1</v>
      </c>
      <c r="H106" s="34" t="s">
        <v>90</v>
      </c>
      <c r="I106" s="34" t="s">
        <v>90</v>
      </c>
      <c r="J106" s="34" t="s">
        <v>90</v>
      </c>
      <c r="K106" s="34" t="s">
        <v>90</v>
      </c>
      <c r="L106" s="34" t="s">
        <v>90</v>
      </c>
      <c r="M106" s="34" t="s">
        <v>90</v>
      </c>
      <c r="N106">
        <v>91777</v>
      </c>
    </row>
    <row r="107" spans="1:14">
      <c r="A107">
        <f t="shared" si="6"/>
        <v>38897</v>
      </c>
      <c r="B107">
        <f t="shared" si="7"/>
        <v>104</v>
      </c>
      <c r="C107" s="66" t="s">
        <v>62</v>
      </c>
      <c r="D107">
        <v>2555</v>
      </c>
      <c r="E107">
        <v>510</v>
      </c>
      <c r="F107" s="34">
        <v>0</v>
      </c>
      <c r="G107" s="34">
        <v>1</v>
      </c>
      <c r="H107" s="34" t="s">
        <v>91</v>
      </c>
      <c r="I107" s="34" t="s">
        <v>91</v>
      </c>
      <c r="J107" s="34" t="s">
        <v>91</v>
      </c>
      <c r="K107" s="34" t="s">
        <v>91</v>
      </c>
      <c r="L107" s="34" t="s">
        <v>91</v>
      </c>
      <c r="M107" s="34" t="s">
        <v>91</v>
      </c>
      <c r="N107">
        <v>38897</v>
      </c>
    </row>
    <row r="108" spans="1:14">
      <c r="A108">
        <f t="shared" si="6"/>
        <v>23027</v>
      </c>
      <c r="B108">
        <f t="shared" si="7"/>
        <v>105</v>
      </c>
      <c r="C108" s="66" t="s">
        <v>62</v>
      </c>
      <c r="D108">
        <v>3610</v>
      </c>
      <c r="E108">
        <v>620</v>
      </c>
      <c r="F108" s="34">
        <v>1</v>
      </c>
      <c r="G108" s="34">
        <v>1</v>
      </c>
      <c r="H108" s="34" t="s">
        <v>90</v>
      </c>
      <c r="I108" s="34" t="s">
        <v>90</v>
      </c>
      <c r="J108" s="34" t="s">
        <v>90</v>
      </c>
      <c r="K108" s="34" t="s">
        <v>90</v>
      </c>
      <c r="L108" s="34" t="s">
        <v>90</v>
      </c>
      <c r="M108" s="34" t="s">
        <v>90</v>
      </c>
      <c r="N108">
        <v>23027</v>
      </c>
    </row>
    <row r="109" spans="1:14">
      <c r="A109">
        <f t="shared" si="6"/>
        <v>88254</v>
      </c>
      <c r="B109">
        <f t="shared" si="7"/>
        <v>106</v>
      </c>
      <c r="C109" s="66" t="s">
        <v>157</v>
      </c>
      <c r="D109">
        <v>3800</v>
      </c>
      <c r="E109">
        <v>715</v>
      </c>
      <c r="F109" s="34">
        <v>2</v>
      </c>
      <c r="G109" s="34">
        <v>1</v>
      </c>
      <c r="H109" s="34" t="s">
        <v>91</v>
      </c>
      <c r="I109" s="34" t="s">
        <v>90</v>
      </c>
      <c r="J109" s="34" t="s">
        <v>90</v>
      </c>
      <c r="K109" s="34" t="s">
        <v>91</v>
      </c>
      <c r="L109" s="34" t="s">
        <v>91</v>
      </c>
      <c r="M109" s="34" t="s">
        <v>91</v>
      </c>
      <c r="N109">
        <v>88254</v>
      </c>
    </row>
    <row r="110" spans="1:14">
      <c r="A110">
        <f t="shared" si="6"/>
        <v>55360</v>
      </c>
      <c r="B110">
        <f t="shared" si="7"/>
        <v>107</v>
      </c>
      <c r="C110" s="66" t="s">
        <v>157</v>
      </c>
      <c r="D110">
        <v>3195</v>
      </c>
      <c r="E110">
        <v>605</v>
      </c>
      <c r="F110" s="34">
        <v>0</v>
      </c>
      <c r="G110" s="34">
        <v>1</v>
      </c>
      <c r="H110" s="34" t="s">
        <v>91</v>
      </c>
      <c r="I110" s="34" t="s">
        <v>91</v>
      </c>
      <c r="J110" s="34" t="s">
        <v>91</v>
      </c>
      <c r="K110" s="34" t="s">
        <v>91</v>
      </c>
      <c r="L110" s="34" t="s">
        <v>91</v>
      </c>
      <c r="M110" s="34" t="s">
        <v>91</v>
      </c>
      <c r="N110">
        <v>55360</v>
      </c>
    </row>
    <row r="111" spans="1:14">
      <c r="A111">
        <f t="shared" si="6"/>
        <v>44548</v>
      </c>
      <c r="B111">
        <f t="shared" si="7"/>
        <v>108</v>
      </c>
      <c r="C111" s="67" t="s">
        <v>65</v>
      </c>
      <c r="D111">
        <v>2910</v>
      </c>
      <c r="E111">
        <v>795</v>
      </c>
      <c r="F111" s="34">
        <v>1</v>
      </c>
      <c r="G111" s="34">
        <v>1</v>
      </c>
      <c r="H111" s="34" t="s">
        <v>90</v>
      </c>
      <c r="I111" s="34" t="s">
        <v>90</v>
      </c>
      <c r="J111" s="34" t="s">
        <v>90</v>
      </c>
      <c r="K111" s="34" t="s">
        <v>90</v>
      </c>
      <c r="L111" s="34" t="s">
        <v>90</v>
      </c>
      <c r="M111" s="34" t="s">
        <v>90</v>
      </c>
      <c r="N111">
        <v>44548</v>
      </c>
    </row>
    <row r="112" spans="1:14">
      <c r="A112">
        <f t="shared" si="6"/>
        <v>66345</v>
      </c>
      <c r="B112">
        <f t="shared" si="7"/>
        <v>109</v>
      </c>
      <c r="C112" s="67" t="s">
        <v>65</v>
      </c>
      <c r="D112">
        <v>2710</v>
      </c>
      <c r="E112">
        <v>756</v>
      </c>
      <c r="F112" s="34">
        <v>1</v>
      </c>
      <c r="G112" s="34">
        <v>1</v>
      </c>
      <c r="H112" s="34" t="s">
        <v>91</v>
      </c>
      <c r="I112" s="34" t="s">
        <v>90</v>
      </c>
      <c r="J112" s="34" t="s">
        <v>90</v>
      </c>
      <c r="K112" s="34" t="s">
        <v>91</v>
      </c>
      <c r="L112" s="34" t="s">
        <v>90</v>
      </c>
      <c r="M112" s="34" t="s">
        <v>91</v>
      </c>
      <c r="N112">
        <v>66345</v>
      </c>
    </row>
    <row r="113" spans="1:14">
      <c r="A113">
        <f t="shared" si="6"/>
        <v>40812</v>
      </c>
      <c r="B113">
        <f t="shared" si="7"/>
        <v>110</v>
      </c>
      <c r="C113" s="67" t="s">
        <v>153</v>
      </c>
      <c r="D113">
        <v>3620</v>
      </c>
      <c r="E113">
        <v>906</v>
      </c>
      <c r="F113" s="34">
        <v>2</v>
      </c>
      <c r="G113" s="34">
        <v>2</v>
      </c>
      <c r="H113" s="34" t="s">
        <v>90</v>
      </c>
      <c r="I113" s="34" t="s">
        <v>90</v>
      </c>
      <c r="J113" s="34" t="s">
        <v>90</v>
      </c>
      <c r="K113" s="34" t="s">
        <v>90</v>
      </c>
      <c r="L113" s="34" t="s">
        <v>91</v>
      </c>
      <c r="M113" s="34" t="s">
        <v>91</v>
      </c>
      <c r="N113">
        <v>40812</v>
      </c>
    </row>
    <row r="114" spans="1:14">
      <c r="A114">
        <f t="shared" si="6"/>
        <v>45025</v>
      </c>
      <c r="B114">
        <f t="shared" si="7"/>
        <v>111</v>
      </c>
      <c r="C114" s="67" t="s">
        <v>153</v>
      </c>
      <c r="D114">
        <v>2295</v>
      </c>
      <c r="E114">
        <v>652</v>
      </c>
      <c r="F114" s="34">
        <v>0</v>
      </c>
      <c r="G114" s="34">
        <v>1</v>
      </c>
      <c r="H114" s="34" t="s">
        <v>91</v>
      </c>
      <c r="I114" s="34" t="s">
        <v>90</v>
      </c>
      <c r="J114" s="34" t="s">
        <v>91</v>
      </c>
      <c r="K114" s="34" t="s">
        <v>91</v>
      </c>
      <c r="L114" s="34" t="s">
        <v>90</v>
      </c>
      <c r="M114" s="34" t="s">
        <v>91</v>
      </c>
      <c r="N114">
        <v>45025</v>
      </c>
    </row>
    <row r="115" spans="1:14">
      <c r="A115">
        <f t="shared" si="6"/>
        <v>27244</v>
      </c>
      <c r="B115">
        <f t="shared" si="7"/>
        <v>112</v>
      </c>
      <c r="C115" s="67" t="s">
        <v>153</v>
      </c>
      <c r="D115">
        <v>2890</v>
      </c>
      <c r="E115">
        <v>701</v>
      </c>
      <c r="F115" s="34">
        <v>1</v>
      </c>
      <c r="G115" s="34">
        <v>1</v>
      </c>
      <c r="H115" s="34" t="s">
        <v>90</v>
      </c>
      <c r="I115" s="34" t="s">
        <v>90</v>
      </c>
      <c r="J115" s="34" t="s">
        <v>90</v>
      </c>
      <c r="K115" s="34" t="s">
        <v>90</v>
      </c>
      <c r="L115" s="34" t="s">
        <v>90</v>
      </c>
      <c r="M115" s="34" t="s">
        <v>91</v>
      </c>
      <c r="N115">
        <v>27244</v>
      </c>
    </row>
    <row r="116" spans="1:14">
      <c r="A116">
        <f t="shared" si="6"/>
        <v>62877</v>
      </c>
      <c r="B116">
        <f t="shared" si="7"/>
        <v>113</v>
      </c>
      <c r="C116" s="67" t="s">
        <v>66</v>
      </c>
      <c r="D116">
        <v>2450</v>
      </c>
      <c r="E116">
        <v>799</v>
      </c>
      <c r="F116" s="34">
        <v>1</v>
      </c>
      <c r="G116" s="34">
        <v>1</v>
      </c>
      <c r="H116" s="34" t="s">
        <v>91</v>
      </c>
      <c r="I116" s="34" t="s">
        <v>90</v>
      </c>
      <c r="J116" s="34" t="s">
        <v>90</v>
      </c>
      <c r="K116" s="34" t="s">
        <v>91</v>
      </c>
      <c r="L116" s="34" t="s">
        <v>90</v>
      </c>
      <c r="M116" s="34" t="s">
        <v>91</v>
      </c>
      <c r="N116">
        <v>62877</v>
      </c>
    </row>
    <row r="117" spans="1:14">
      <c r="A117">
        <f t="shared" si="6"/>
        <v>50657</v>
      </c>
      <c r="B117">
        <f t="shared" si="7"/>
        <v>114</v>
      </c>
      <c r="C117" s="67" t="s">
        <v>66</v>
      </c>
      <c r="D117">
        <v>2050</v>
      </c>
      <c r="E117">
        <v>675</v>
      </c>
      <c r="F117" s="34">
        <v>0</v>
      </c>
      <c r="G117" s="34">
        <v>1</v>
      </c>
      <c r="H117" s="34" t="s">
        <v>91</v>
      </c>
      <c r="I117" s="34" t="s">
        <v>91</v>
      </c>
      <c r="J117" s="34" t="s">
        <v>90</v>
      </c>
      <c r="K117" s="34" t="s">
        <v>90</v>
      </c>
      <c r="L117" s="34" t="s">
        <v>90</v>
      </c>
      <c r="M117" s="34" t="s">
        <v>91</v>
      </c>
      <c r="N117">
        <v>50657</v>
      </c>
    </row>
    <row r="118" spans="1:14">
      <c r="A118">
        <f t="shared" si="6"/>
        <v>98300</v>
      </c>
      <c r="B118">
        <f t="shared" si="7"/>
        <v>115</v>
      </c>
      <c r="C118" s="67" t="s">
        <v>66</v>
      </c>
      <c r="D118">
        <v>2320</v>
      </c>
      <c r="E118">
        <v>720</v>
      </c>
      <c r="F118" s="34">
        <v>1</v>
      </c>
      <c r="G118" s="34">
        <v>1</v>
      </c>
      <c r="H118" s="34" t="s">
        <v>90</v>
      </c>
      <c r="I118" s="34" t="s">
        <v>91</v>
      </c>
      <c r="J118" s="34" t="s">
        <v>90</v>
      </c>
      <c r="K118" s="34" t="s">
        <v>91</v>
      </c>
      <c r="L118" s="34" t="s">
        <v>90</v>
      </c>
      <c r="M118" s="34" t="s">
        <v>91</v>
      </c>
      <c r="N118">
        <v>98300</v>
      </c>
    </row>
    <row r="119" spans="1:14">
      <c r="A119">
        <f t="shared" si="6"/>
        <v>12958</v>
      </c>
      <c r="B119">
        <f t="shared" si="7"/>
        <v>116</v>
      </c>
      <c r="C119" s="67" t="s">
        <v>66</v>
      </c>
      <c r="D119">
        <v>3550</v>
      </c>
      <c r="E119">
        <v>910</v>
      </c>
      <c r="F119" s="34">
        <v>2</v>
      </c>
      <c r="G119" s="34">
        <v>1</v>
      </c>
      <c r="H119" s="34" t="s">
        <v>90</v>
      </c>
      <c r="I119" s="34" t="s">
        <v>90</v>
      </c>
      <c r="J119" s="34" t="s">
        <v>90</v>
      </c>
      <c r="K119" s="34" t="s">
        <v>90</v>
      </c>
      <c r="L119" s="34" t="s">
        <v>90</v>
      </c>
      <c r="M119" s="34" t="s">
        <v>90</v>
      </c>
      <c r="N119">
        <v>12958</v>
      </c>
    </row>
    <row r="120" spans="1:14">
      <c r="A120">
        <f t="shared" si="6"/>
        <v>63412</v>
      </c>
      <c r="B120">
        <f t="shared" si="7"/>
        <v>117</v>
      </c>
      <c r="C120" s="67" t="s">
        <v>66</v>
      </c>
      <c r="D120">
        <v>3295</v>
      </c>
      <c r="E120">
        <v>890</v>
      </c>
      <c r="F120" s="34">
        <v>2</v>
      </c>
      <c r="G120" s="34">
        <v>1</v>
      </c>
      <c r="H120" s="34" t="s">
        <v>91</v>
      </c>
      <c r="I120" s="34" t="s">
        <v>90</v>
      </c>
      <c r="J120" s="34" t="s">
        <v>91</v>
      </c>
      <c r="K120" s="34" t="s">
        <v>91</v>
      </c>
      <c r="L120" s="34" t="s">
        <v>90</v>
      </c>
      <c r="M120" s="34" t="s">
        <v>91</v>
      </c>
      <c r="N120">
        <v>63412</v>
      </c>
    </row>
    <row r="121" spans="1:14">
      <c r="A121">
        <f t="shared" si="6"/>
        <v>12663</v>
      </c>
      <c r="B121">
        <f t="shared" si="7"/>
        <v>118</v>
      </c>
      <c r="C121" s="67" t="s">
        <v>66</v>
      </c>
      <c r="D121">
        <v>3110</v>
      </c>
      <c r="E121">
        <v>820</v>
      </c>
      <c r="F121" s="34">
        <v>1</v>
      </c>
      <c r="G121" s="34">
        <v>1</v>
      </c>
      <c r="H121" s="34" t="s">
        <v>90</v>
      </c>
      <c r="I121" s="34" t="s">
        <v>90</v>
      </c>
      <c r="J121" s="34" t="s">
        <v>90</v>
      </c>
      <c r="K121" s="34" t="s">
        <v>90</v>
      </c>
      <c r="L121" s="34" t="s">
        <v>90</v>
      </c>
      <c r="M121" s="34" t="s">
        <v>90</v>
      </c>
      <c r="N121">
        <v>12663</v>
      </c>
    </row>
    <row r="122" spans="1:14">
      <c r="A122">
        <f t="shared" si="6"/>
        <v>82218</v>
      </c>
      <c r="B122">
        <f t="shared" si="7"/>
        <v>119</v>
      </c>
      <c r="C122" s="67" t="s">
        <v>66</v>
      </c>
      <c r="D122">
        <v>2770</v>
      </c>
      <c r="E122">
        <v>800</v>
      </c>
      <c r="F122" s="34">
        <v>1</v>
      </c>
      <c r="G122" s="34">
        <v>1</v>
      </c>
      <c r="H122" s="34" t="s">
        <v>91</v>
      </c>
      <c r="I122" s="34" t="s">
        <v>90</v>
      </c>
      <c r="J122" s="34" t="s">
        <v>90</v>
      </c>
      <c r="K122" s="34" t="s">
        <v>90</v>
      </c>
      <c r="L122" s="34" t="s">
        <v>90</v>
      </c>
      <c r="M122" s="34" t="s">
        <v>91</v>
      </c>
      <c r="N122">
        <v>82218</v>
      </c>
    </row>
    <row r="123" spans="1:14">
      <c r="A123">
        <f t="shared" si="6"/>
        <v>27451</v>
      </c>
      <c r="B123">
        <f t="shared" si="7"/>
        <v>120</v>
      </c>
      <c r="C123" s="67" t="s">
        <v>152</v>
      </c>
      <c r="D123">
        <v>2150</v>
      </c>
      <c r="E123">
        <v>700</v>
      </c>
      <c r="F123" s="34">
        <v>1</v>
      </c>
      <c r="G123" s="34">
        <v>1</v>
      </c>
      <c r="H123" s="34" t="s">
        <v>91</v>
      </c>
      <c r="I123" s="34" t="s">
        <v>90</v>
      </c>
      <c r="J123" s="34" t="s">
        <v>90</v>
      </c>
      <c r="K123" s="34" t="s">
        <v>91</v>
      </c>
      <c r="L123" s="34" t="s">
        <v>90</v>
      </c>
      <c r="M123" s="34" t="s">
        <v>91</v>
      </c>
      <c r="N123">
        <v>27451</v>
      </c>
    </row>
    <row r="124" spans="1:14">
      <c r="A124">
        <f t="shared" si="6"/>
        <v>13082</v>
      </c>
      <c r="B124">
        <f t="shared" si="7"/>
        <v>121</v>
      </c>
      <c r="C124" s="67" t="s">
        <v>152</v>
      </c>
      <c r="D124">
        <v>1975</v>
      </c>
      <c r="E124">
        <v>675</v>
      </c>
      <c r="F124" s="34">
        <v>0</v>
      </c>
      <c r="G124" s="34">
        <v>1</v>
      </c>
      <c r="H124" s="34" t="s">
        <v>91</v>
      </c>
      <c r="I124" s="34" t="s">
        <v>90</v>
      </c>
      <c r="J124" s="34" t="s">
        <v>90</v>
      </c>
      <c r="K124" s="34" t="s">
        <v>91</v>
      </c>
      <c r="L124" s="34" t="s">
        <v>91</v>
      </c>
      <c r="M124" s="34" t="s">
        <v>91</v>
      </c>
      <c r="N124">
        <v>13082</v>
      </c>
    </row>
    <row r="125" spans="1:14">
      <c r="A125">
        <f t="shared" si="6"/>
        <v>79566</v>
      </c>
      <c r="B125">
        <f t="shared" si="7"/>
        <v>122</v>
      </c>
      <c r="C125" s="68" t="s">
        <v>154</v>
      </c>
      <c r="D125">
        <v>3500</v>
      </c>
      <c r="E125">
        <v>820</v>
      </c>
      <c r="F125" s="34">
        <v>1</v>
      </c>
      <c r="G125" s="34">
        <v>1</v>
      </c>
      <c r="H125" s="34" t="s">
        <v>90</v>
      </c>
      <c r="I125" s="34" t="s">
        <v>90</v>
      </c>
      <c r="J125" s="34" t="s">
        <v>90</v>
      </c>
      <c r="K125" s="34" t="s">
        <v>90</v>
      </c>
      <c r="L125" s="34" t="s">
        <v>90</v>
      </c>
      <c r="M125" s="34" t="s">
        <v>90</v>
      </c>
      <c r="N125">
        <v>79566</v>
      </c>
    </row>
    <row r="126" spans="1:14">
      <c r="A126">
        <f t="shared" si="6"/>
        <v>98383</v>
      </c>
      <c r="B126">
        <f t="shared" si="7"/>
        <v>123</v>
      </c>
      <c r="C126" s="68" t="s">
        <v>154</v>
      </c>
      <c r="D126">
        <v>3200</v>
      </c>
      <c r="E126">
        <v>750</v>
      </c>
      <c r="F126" s="34">
        <v>1</v>
      </c>
      <c r="G126" s="34">
        <v>1</v>
      </c>
      <c r="H126" s="34" t="s">
        <v>91</v>
      </c>
      <c r="I126" s="34" t="s">
        <v>90</v>
      </c>
      <c r="J126" s="34" t="s">
        <v>90</v>
      </c>
      <c r="K126" s="34" t="s">
        <v>90</v>
      </c>
      <c r="L126" s="34" t="s">
        <v>90</v>
      </c>
      <c r="M126" s="34" t="s">
        <v>91</v>
      </c>
      <c r="N126">
        <v>98383</v>
      </c>
    </row>
    <row r="127" spans="1:14">
      <c r="A127">
        <f t="shared" si="6"/>
        <v>84281</v>
      </c>
      <c r="B127">
        <f t="shared" si="7"/>
        <v>124</v>
      </c>
      <c r="C127" s="68" t="s">
        <v>154</v>
      </c>
      <c r="D127">
        <v>2675</v>
      </c>
      <c r="E127">
        <v>600</v>
      </c>
      <c r="F127" s="34">
        <v>0</v>
      </c>
      <c r="G127" s="34">
        <v>1</v>
      </c>
      <c r="H127" s="34" t="s">
        <v>91</v>
      </c>
      <c r="I127" s="34" t="s">
        <v>91</v>
      </c>
      <c r="J127" s="34" t="s">
        <v>90</v>
      </c>
      <c r="K127" s="34" t="s">
        <v>90</v>
      </c>
      <c r="L127" s="34" t="s">
        <v>91</v>
      </c>
      <c r="M127" s="34" t="s">
        <v>91</v>
      </c>
      <c r="N127">
        <v>84281</v>
      </c>
    </row>
    <row r="128" spans="1:14">
      <c r="A128">
        <f t="shared" si="6"/>
        <v>74308</v>
      </c>
      <c r="B128">
        <f t="shared" si="7"/>
        <v>125</v>
      </c>
      <c r="C128" s="68" t="s">
        <v>154</v>
      </c>
      <c r="D128">
        <v>3875</v>
      </c>
      <c r="E128">
        <v>910</v>
      </c>
      <c r="F128" s="34">
        <v>2</v>
      </c>
      <c r="G128" s="34">
        <v>2</v>
      </c>
      <c r="H128" s="34" t="s">
        <v>90</v>
      </c>
      <c r="I128" s="34" t="s">
        <v>90</v>
      </c>
      <c r="J128" s="34" t="s">
        <v>90</v>
      </c>
      <c r="K128" s="34" t="s">
        <v>90</v>
      </c>
      <c r="L128" s="34" t="s">
        <v>91</v>
      </c>
      <c r="M128" s="34" t="s">
        <v>91</v>
      </c>
      <c r="N128">
        <v>74308</v>
      </c>
    </row>
    <row r="129" spans="1:14">
      <c r="A129">
        <f t="shared" si="6"/>
        <v>20899</v>
      </c>
      <c r="B129">
        <f t="shared" si="7"/>
        <v>126</v>
      </c>
      <c r="C129" s="68" t="s">
        <v>154</v>
      </c>
      <c r="D129">
        <v>3650</v>
      </c>
      <c r="E129">
        <v>890</v>
      </c>
      <c r="F129" s="34">
        <v>2</v>
      </c>
      <c r="G129" s="34">
        <v>1</v>
      </c>
      <c r="H129" s="34" t="s">
        <v>91</v>
      </c>
      <c r="I129" s="34" t="s">
        <v>90</v>
      </c>
      <c r="J129" s="34" t="s">
        <v>90</v>
      </c>
      <c r="K129" s="34" t="s">
        <v>90</v>
      </c>
      <c r="L129" s="34" t="s">
        <v>90</v>
      </c>
      <c r="M129" s="34" t="s">
        <v>91</v>
      </c>
      <c r="N129">
        <v>20899</v>
      </c>
    </row>
    <row r="130" spans="1:14">
      <c r="A130">
        <f t="shared" si="6"/>
        <v>26150</v>
      </c>
      <c r="B130">
        <f t="shared" si="7"/>
        <v>127</v>
      </c>
      <c r="C130" s="68" t="s">
        <v>154</v>
      </c>
      <c r="D130">
        <v>3395</v>
      </c>
      <c r="E130">
        <v>790</v>
      </c>
      <c r="F130" s="34">
        <v>1</v>
      </c>
      <c r="G130" s="34">
        <v>1</v>
      </c>
      <c r="H130" s="34" t="s">
        <v>91</v>
      </c>
      <c r="I130" s="34" t="s">
        <v>90</v>
      </c>
      <c r="J130" s="34" t="s">
        <v>90</v>
      </c>
      <c r="K130" s="34" t="s">
        <v>90</v>
      </c>
      <c r="L130" s="34" t="s">
        <v>90</v>
      </c>
      <c r="M130" s="34" t="s">
        <v>90</v>
      </c>
      <c r="N130">
        <v>26150</v>
      </c>
    </row>
    <row r="131" spans="1:14">
      <c r="A131">
        <f t="shared" si="6"/>
        <v>90309</v>
      </c>
      <c r="B131">
        <f t="shared" si="7"/>
        <v>128</v>
      </c>
      <c r="C131" s="68" t="s">
        <v>67</v>
      </c>
      <c r="D131">
        <v>2345</v>
      </c>
      <c r="E131">
        <v>900</v>
      </c>
      <c r="F131" s="34">
        <v>1</v>
      </c>
      <c r="G131" s="34">
        <v>1</v>
      </c>
      <c r="H131" s="34" t="s">
        <v>91</v>
      </c>
      <c r="I131" s="34" t="s">
        <v>90</v>
      </c>
      <c r="J131" s="34" t="s">
        <v>90</v>
      </c>
      <c r="K131" s="34" t="s">
        <v>90</v>
      </c>
      <c r="L131" s="34" t="s">
        <v>90</v>
      </c>
      <c r="M131" s="34" t="s">
        <v>91</v>
      </c>
      <c r="N131">
        <v>90309</v>
      </c>
    </row>
    <row r="132" spans="1:14">
      <c r="A132">
        <f t="shared" si="6"/>
        <v>64000</v>
      </c>
      <c r="B132">
        <f t="shared" si="7"/>
        <v>129</v>
      </c>
      <c r="C132" s="68" t="s">
        <v>67</v>
      </c>
      <c r="D132">
        <v>1960</v>
      </c>
      <c r="E132">
        <v>750</v>
      </c>
      <c r="F132" s="34">
        <v>1</v>
      </c>
      <c r="G132" s="34">
        <v>1</v>
      </c>
      <c r="H132" s="34" t="s">
        <v>91</v>
      </c>
      <c r="I132" s="34" t="s">
        <v>90</v>
      </c>
      <c r="J132" s="34" t="s">
        <v>91</v>
      </c>
      <c r="K132" s="34" t="s">
        <v>91</v>
      </c>
      <c r="L132" s="34" t="s">
        <v>91</v>
      </c>
      <c r="M132" s="34" t="s">
        <v>91</v>
      </c>
      <c r="N132">
        <v>64000</v>
      </c>
    </row>
    <row r="133" spans="1:14">
      <c r="A133">
        <f t="shared" ref="A133:A153" si="8">N133</f>
        <v>58697</v>
      </c>
      <c r="B133">
        <f t="shared" si="7"/>
        <v>130</v>
      </c>
      <c r="C133" s="68" t="s">
        <v>68</v>
      </c>
      <c r="D133">
        <v>2800</v>
      </c>
      <c r="E133">
        <v>800</v>
      </c>
      <c r="F133" s="34">
        <v>1</v>
      </c>
      <c r="G133" s="34">
        <v>1</v>
      </c>
      <c r="H133" s="34" t="s">
        <v>91</v>
      </c>
      <c r="I133" s="34" t="s">
        <v>90</v>
      </c>
      <c r="J133" s="34" t="s">
        <v>91</v>
      </c>
      <c r="K133" s="34" t="s">
        <v>91</v>
      </c>
      <c r="L133" s="34" t="s">
        <v>91</v>
      </c>
      <c r="M133" s="34" t="s">
        <v>91</v>
      </c>
      <c r="N133">
        <v>58697</v>
      </c>
    </row>
    <row r="134" spans="1:14">
      <c r="A134">
        <f t="shared" si="8"/>
        <v>18847</v>
      </c>
      <c r="B134">
        <f t="shared" ref="B134:B153" si="9">B133+1</f>
        <v>131</v>
      </c>
      <c r="C134" s="68" t="s">
        <v>68</v>
      </c>
      <c r="D134">
        <v>2555</v>
      </c>
      <c r="E134">
        <v>730</v>
      </c>
      <c r="F134" s="34">
        <v>1</v>
      </c>
      <c r="G134" s="34">
        <v>1</v>
      </c>
      <c r="H134" s="34" t="s">
        <v>90</v>
      </c>
      <c r="I134" s="34" t="s">
        <v>90</v>
      </c>
      <c r="J134" s="34" t="s">
        <v>90</v>
      </c>
      <c r="K134" s="34" t="s">
        <v>90</v>
      </c>
      <c r="L134" s="34" t="s">
        <v>90</v>
      </c>
      <c r="M134" s="34" t="s">
        <v>91</v>
      </c>
      <c r="N134">
        <v>18847</v>
      </c>
    </row>
    <row r="135" spans="1:14">
      <c r="A135">
        <f t="shared" si="8"/>
        <v>18517</v>
      </c>
      <c r="B135">
        <f t="shared" si="9"/>
        <v>132</v>
      </c>
      <c r="C135" s="68" t="s">
        <v>68</v>
      </c>
      <c r="D135">
        <v>3795</v>
      </c>
      <c r="E135">
        <v>1000</v>
      </c>
      <c r="F135" s="34">
        <v>2</v>
      </c>
      <c r="G135" s="34">
        <v>2</v>
      </c>
      <c r="H135" s="34" t="s">
        <v>90</v>
      </c>
      <c r="I135" s="34" t="s">
        <v>90</v>
      </c>
      <c r="J135" s="34" t="s">
        <v>90</v>
      </c>
      <c r="K135" s="34" t="s">
        <v>90</v>
      </c>
      <c r="L135" s="34" t="s">
        <v>90</v>
      </c>
      <c r="M135" s="34" t="s">
        <v>90</v>
      </c>
      <c r="N135">
        <v>18517</v>
      </c>
    </row>
    <row r="136" spans="1:14">
      <c r="A136">
        <f t="shared" si="8"/>
        <v>46917</v>
      </c>
      <c r="B136">
        <f t="shared" si="9"/>
        <v>133</v>
      </c>
      <c r="C136" s="68" t="s">
        <v>68</v>
      </c>
      <c r="D136">
        <v>2295</v>
      </c>
      <c r="E136">
        <v>650</v>
      </c>
      <c r="F136" s="34">
        <v>0</v>
      </c>
      <c r="G136" s="34">
        <v>1</v>
      </c>
      <c r="H136" s="34" t="s">
        <v>90</v>
      </c>
      <c r="I136" s="34" t="s">
        <v>91</v>
      </c>
      <c r="J136" s="34" t="s">
        <v>91</v>
      </c>
      <c r="K136" s="34" t="s">
        <v>91</v>
      </c>
      <c r="L136" s="34" t="s">
        <v>90</v>
      </c>
      <c r="M136" s="34" t="s">
        <v>90</v>
      </c>
      <c r="N136">
        <v>46917</v>
      </c>
    </row>
    <row r="137" spans="1:14">
      <c r="A137">
        <f t="shared" si="8"/>
        <v>87832</v>
      </c>
      <c r="B137">
        <f t="shared" si="9"/>
        <v>134</v>
      </c>
      <c r="C137" s="68" t="s">
        <v>68</v>
      </c>
      <c r="D137">
        <v>3250</v>
      </c>
      <c r="E137">
        <v>720</v>
      </c>
      <c r="F137" s="34">
        <v>1</v>
      </c>
      <c r="G137" s="34">
        <v>1</v>
      </c>
      <c r="H137" s="34" t="s">
        <v>91</v>
      </c>
      <c r="I137" s="34" t="s">
        <v>90</v>
      </c>
      <c r="J137" s="34" t="s">
        <v>91</v>
      </c>
      <c r="K137" s="34" t="s">
        <v>91</v>
      </c>
      <c r="L137" s="34" t="s">
        <v>90</v>
      </c>
      <c r="M137" s="34" t="s">
        <v>91</v>
      </c>
      <c r="N137">
        <v>87832</v>
      </c>
    </row>
    <row r="138" spans="1:14">
      <c r="A138">
        <f t="shared" si="8"/>
        <v>98874</v>
      </c>
      <c r="B138">
        <f t="shared" si="9"/>
        <v>135</v>
      </c>
      <c r="C138" s="68" t="s">
        <v>68</v>
      </c>
      <c r="D138">
        <v>3195</v>
      </c>
      <c r="E138">
        <v>690</v>
      </c>
      <c r="F138" s="34">
        <v>1</v>
      </c>
      <c r="G138" s="34">
        <v>1</v>
      </c>
      <c r="H138" s="34" t="s">
        <v>91</v>
      </c>
      <c r="I138" s="34" t="s">
        <v>90</v>
      </c>
      <c r="J138" s="34" t="s">
        <v>90</v>
      </c>
      <c r="K138" s="34" t="s">
        <v>91</v>
      </c>
      <c r="L138" s="34" t="s">
        <v>91</v>
      </c>
      <c r="M138" s="34" t="s">
        <v>91</v>
      </c>
      <c r="N138">
        <v>98874</v>
      </c>
    </row>
    <row r="139" spans="1:14">
      <c r="A139">
        <f t="shared" si="8"/>
        <v>45790</v>
      </c>
      <c r="B139">
        <f t="shared" si="9"/>
        <v>136</v>
      </c>
      <c r="C139" s="68" t="s">
        <v>68</v>
      </c>
      <c r="D139">
        <v>2780</v>
      </c>
      <c r="E139">
        <v>720</v>
      </c>
      <c r="F139" s="34">
        <v>1</v>
      </c>
      <c r="G139" s="34">
        <v>1</v>
      </c>
      <c r="H139" s="34" t="s">
        <v>91</v>
      </c>
      <c r="I139" s="34" t="s">
        <v>90</v>
      </c>
      <c r="J139" s="34" t="s">
        <v>90</v>
      </c>
      <c r="K139" s="34" t="s">
        <v>90</v>
      </c>
      <c r="L139" s="34" t="s">
        <v>90</v>
      </c>
      <c r="M139" s="34" t="s">
        <v>91</v>
      </c>
      <c r="N139">
        <v>45790</v>
      </c>
    </row>
    <row r="140" spans="1:14">
      <c r="A140">
        <f t="shared" si="8"/>
        <v>33941</v>
      </c>
      <c r="B140">
        <f t="shared" si="9"/>
        <v>137</v>
      </c>
      <c r="C140" s="69" t="s">
        <v>69</v>
      </c>
      <c r="D140">
        <v>2150</v>
      </c>
      <c r="E140">
        <v>900</v>
      </c>
      <c r="F140" s="34">
        <v>1</v>
      </c>
      <c r="G140" s="34">
        <v>1</v>
      </c>
      <c r="H140" s="34" t="s">
        <v>91</v>
      </c>
      <c r="I140" s="34" t="s">
        <v>90</v>
      </c>
      <c r="J140" s="34" t="s">
        <v>90</v>
      </c>
      <c r="K140" s="34" t="s">
        <v>91</v>
      </c>
      <c r="L140" s="34" t="s">
        <v>90</v>
      </c>
      <c r="M140" s="34" t="s">
        <v>91</v>
      </c>
      <c r="N140">
        <v>33941</v>
      </c>
    </row>
    <row r="141" spans="1:14">
      <c r="A141">
        <f t="shared" si="8"/>
        <v>18550</v>
      </c>
      <c r="B141">
        <f t="shared" si="9"/>
        <v>138</v>
      </c>
      <c r="C141" s="69" t="s">
        <v>69</v>
      </c>
      <c r="D141">
        <v>1495</v>
      </c>
      <c r="E141">
        <v>700</v>
      </c>
      <c r="F141" s="34">
        <v>1</v>
      </c>
      <c r="G141" s="34">
        <v>1</v>
      </c>
      <c r="H141" s="34" t="s">
        <v>91</v>
      </c>
      <c r="I141" s="34" t="s">
        <v>91</v>
      </c>
      <c r="J141" s="34" t="s">
        <v>91</v>
      </c>
      <c r="K141" s="34" t="s">
        <v>91</v>
      </c>
      <c r="L141" s="34" t="s">
        <v>90</v>
      </c>
      <c r="M141" s="34" t="s">
        <v>91</v>
      </c>
      <c r="N141">
        <v>18550</v>
      </c>
    </row>
    <row r="142" spans="1:14">
      <c r="A142">
        <f t="shared" si="8"/>
        <v>12990</v>
      </c>
      <c r="B142">
        <f t="shared" si="9"/>
        <v>139</v>
      </c>
      <c r="C142" s="69" t="s">
        <v>151</v>
      </c>
      <c r="D142">
        <v>2570</v>
      </c>
      <c r="E142">
        <v>950</v>
      </c>
      <c r="F142" s="34">
        <v>2</v>
      </c>
      <c r="G142" s="34">
        <v>1</v>
      </c>
      <c r="H142" s="34" t="s">
        <v>90</v>
      </c>
      <c r="I142" s="34" t="s">
        <v>91</v>
      </c>
      <c r="J142" s="34" t="s">
        <v>91</v>
      </c>
      <c r="K142" s="34" t="s">
        <v>91</v>
      </c>
      <c r="L142" s="34" t="s">
        <v>91</v>
      </c>
      <c r="M142" s="34" t="s">
        <v>91</v>
      </c>
      <c r="N142">
        <v>12990</v>
      </c>
    </row>
    <row r="143" spans="1:14">
      <c r="A143">
        <f t="shared" si="8"/>
        <v>15556</v>
      </c>
      <c r="B143">
        <f t="shared" si="9"/>
        <v>140</v>
      </c>
      <c r="C143" s="69" t="s">
        <v>151</v>
      </c>
      <c r="D143">
        <v>2160</v>
      </c>
      <c r="E143">
        <v>860</v>
      </c>
      <c r="F143" s="34">
        <v>1</v>
      </c>
      <c r="G143" s="34">
        <v>1</v>
      </c>
      <c r="H143" s="34" t="s">
        <v>91</v>
      </c>
      <c r="I143" s="34" t="s">
        <v>90</v>
      </c>
      <c r="J143" s="34" t="s">
        <v>90</v>
      </c>
      <c r="K143" s="34" t="s">
        <v>90</v>
      </c>
      <c r="L143" s="34" t="s">
        <v>90</v>
      </c>
      <c r="M143" s="34" t="s">
        <v>91</v>
      </c>
      <c r="N143">
        <v>15556</v>
      </c>
    </row>
    <row r="144" spans="1:14">
      <c r="A144">
        <f t="shared" si="8"/>
        <v>83514</v>
      </c>
      <c r="B144">
        <f t="shared" si="9"/>
        <v>141</v>
      </c>
      <c r="C144" s="69" t="s">
        <v>149</v>
      </c>
      <c r="D144">
        <v>1850</v>
      </c>
      <c r="E144">
        <v>900</v>
      </c>
      <c r="F144" s="34">
        <v>1</v>
      </c>
      <c r="G144" s="34">
        <v>1</v>
      </c>
      <c r="H144" s="34" t="s">
        <v>91</v>
      </c>
      <c r="I144" s="34" t="s">
        <v>90</v>
      </c>
      <c r="J144" s="34" t="s">
        <v>91</v>
      </c>
      <c r="K144" s="34" t="s">
        <v>91</v>
      </c>
      <c r="L144" s="34" t="s">
        <v>90</v>
      </c>
      <c r="M144" s="34" t="s">
        <v>91</v>
      </c>
      <c r="N144">
        <v>83514</v>
      </c>
    </row>
    <row r="145" spans="1:14">
      <c r="A145">
        <f t="shared" si="8"/>
        <v>60292</v>
      </c>
      <c r="B145">
        <f t="shared" si="9"/>
        <v>142</v>
      </c>
      <c r="C145" s="69" t="s">
        <v>149</v>
      </c>
      <c r="D145">
        <v>1425</v>
      </c>
      <c r="E145">
        <v>650</v>
      </c>
      <c r="F145" s="34">
        <v>0</v>
      </c>
      <c r="G145" s="34">
        <v>1</v>
      </c>
      <c r="H145" s="34" t="s">
        <v>91</v>
      </c>
      <c r="I145" s="34" t="s">
        <v>90</v>
      </c>
      <c r="J145" s="34" t="s">
        <v>90</v>
      </c>
      <c r="K145" s="34" t="s">
        <v>91</v>
      </c>
      <c r="L145" s="34" t="s">
        <v>90</v>
      </c>
      <c r="M145" s="34" t="s">
        <v>91</v>
      </c>
      <c r="N145">
        <v>60292</v>
      </c>
    </row>
    <row r="146" spans="1:14">
      <c r="A146">
        <f t="shared" si="8"/>
        <v>66260</v>
      </c>
      <c r="B146">
        <f t="shared" si="9"/>
        <v>143</v>
      </c>
      <c r="C146" s="69" t="s">
        <v>147</v>
      </c>
      <c r="D146">
        <v>1725</v>
      </c>
      <c r="E146">
        <v>850</v>
      </c>
      <c r="F146" s="34">
        <v>1</v>
      </c>
      <c r="G146" s="34">
        <v>1</v>
      </c>
      <c r="H146" s="34" t="s">
        <v>91</v>
      </c>
      <c r="I146" s="34" t="s">
        <v>90</v>
      </c>
      <c r="J146" s="34" t="s">
        <v>91</v>
      </c>
      <c r="K146" s="34" t="s">
        <v>91</v>
      </c>
      <c r="L146" s="34" t="s">
        <v>90</v>
      </c>
      <c r="M146" s="34" t="s">
        <v>91</v>
      </c>
      <c r="N146">
        <v>66260</v>
      </c>
    </row>
    <row r="147" spans="1:14">
      <c r="A147">
        <f t="shared" si="8"/>
        <v>98114</v>
      </c>
      <c r="B147">
        <f t="shared" si="9"/>
        <v>144</v>
      </c>
      <c r="C147" s="69" t="s">
        <v>147</v>
      </c>
      <c r="D147">
        <v>1830</v>
      </c>
      <c r="E147">
        <v>870</v>
      </c>
      <c r="F147" s="34">
        <v>1</v>
      </c>
      <c r="G147" s="34">
        <v>1</v>
      </c>
      <c r="H147" s="34" t="s">
        <v>91</v>
      </c>
      <c r="I147" s="34" t="s">
        <v>90</v>
      </c>
      <c r="J147" s="34" t="s">
        <v>90</v>
      </c>
      <c r="K147" s="34" t="s">
        <v>90</v>
      </c>
      <c r="L147" s="34" t="s">
        <v>90</v>
      </c>
      <c r="M147" s="34" t="s">
        <v>90</v>
      </c>
      <c r="N147">
        <v>98114</v>
      </c>
    </row>
    <row r="148" spans="1:14">
      <c r="A148">
        <f t="shared" si="8"/>
        <v>37465</v>
      </c>
      <c r="B148">
        <f t="shared" si="9"/>
        <v>145</v>
      </c>
      <c r="C148" s="69" t="s">
        <v>150</v>
      </c>
      <c r="D148">
        <v>2310</v>
      </c>
      <c r="E148">
        <v>710</v>
      </c>
      <c r="F148" s="34">
        <v>1</v>
      </c>
      <c r="G148" s="34">
        <v>1</v>
      </c>
      <c r="H148" s="34" t="s">
        <v>90</v>
      </c>
      <c r="I148" s="34" t="s">
        <v>91</v>
      </c>
      <c r="J148" s="34" t="s">
        <v>91</v>
      </c>
      <c r="K148" s="34" t="s">
        <v>91</v>
      </c>
      <c r="L148" s="34" t="s">
        <v>90</v>
      </c>
      <c r="M148" s="34" t="s">
        <v>91</v>
      </c>
      <c r="N148">
        <v>37465</v>
      </c>
    </row>
    <row r="149" spans="1:14">
      <c r="A149">
        <f t="shared" si="8"/>
        <v>78558</v>
      </c>
      <c r="B149">
        <f t="shared" si="9"/>
        <v>146</v>
      </c>
      <c r="C149" s="69" t="s">
        <v>150</v>
      </c>
      <c r="D149">
        <v>2140</v>
      </c>
      <c r="E149">
        <v>750</v>
      </c>
      <c r="F149" s="34">
        <v>1</v>
      </c>
      <c r="G149" s="34">
        <v>1</v>
      </c>
      <c r="H149" s="34" t="s">
        <v>91</v>
      </c>
      <c r="I149" s="34" t="s">
        <v>90</v>
      </c>
      <c r="J149" s="34" t="s">
        <v>90</v>
      </c>
      <c r="K149" s="34" t="s">
        <v>91</v>
      </c>
      <c r="L149" s="34" t="s">
        <v>90</v>
      </c>
      <c r="M149" s="34" t="s">
        <v>91</v>
      </c>
      <c r="N149">
        <v>78558</v>
      </c>
    </row>
    <row r="150" spans="1:14">
      <c r="A150">
        <f t="shared" si="8"/>
        <v>62934</v>
      </c>
      <c r="B150">
        <f t="shared" si="9"/>
        <v>147</v>
      </c>
      <c r="C150" s="69" t="s">
        <v>148</v>
      </c>
      <c r="D150">
        <v>1710</v>
      </c>
      <c r="E150">
        <v>830</v>
      </c>
      <c r="F150" s="34">
        <v>1</v>
      </c>
      <c r="G150" s="34">
        <v>1</v>
      </c>
      <c r="H150" s="34" t="s">
        <v>91</v>
      </c>
      <c r="I150" s="34" t="s">
        <v>91</v>
      </c>
      <c r="J150" s="34" t="s">
        <v>90</v>
      </c>
      <c r="K150" s="34" t="s">
        <v>91</v>
      </c>
      <c r="L150" s="34" t="s">
        <v>90</v>
      </c>
      <c r="M150" s="34" t="s">
        <v>90</v>
      </c>
      <c r="N150">
        <v>62934</v>
      </c>
    </row>
    <row r="151" spans="1:14">
      <c r="A151">
        <f t="shared" si="8"/>
        <v>53308</v>
      </c>
      <c r="B151">
        <f t="shared" si="9"/>
        <v>148</v>
      </c>
      <c r="C151" s="69" t="s">
        <v>148</v>
      </c>
      <c r="D151">
        <v>1790</v>
      </c>
      <c r="E151">
        <v>830</v>
      </c>
      <c r="F151" s="34">
        <v>1</v>
      </c>
      <c r="G151" s="34">
        <v>1</v>
      </c>
      <c r="H151" s="34" t="s">
        <v>91</v>
      </c>
      <c r="I151" s="34" t="s">
        <v>90</v>
      </c>
      <c r="J151" s="34" t="s">
        <v>90</v>
      </c>
      <c r="K151" s="34" t="s">
        <v>91</v>
      </c>
      <c r="L151" s="34" t="s">
        <v>91</v>
      </c>
      <c r="M151" s="34" t="s">
        <v>91</v>
      </c>
      <c r="N151">
        <v>53308</v>
      </c>
    </row>
    <row r="152" spans="1:14">
      <c r="A152">
        <f t="shared" si="8"/>
        <v>86647</v>
      </c>
      <c r="B152">
        <f t="shared" si="9"/>
        <v>149</v>
      </c>
      <c r="C152" s="69" t="s">
        <v>71</v>
      </c>
      <c r="D152">
        <v>2120</v>
      </c>
      <c r="E152">
        <v>650</v>
      </c>
      <c r="F152" s="34">
        <v>0</v>
      </c>
      <c r="G152" s="34">
        <v>1</v>
      </c>
      <c r="H152" s="34" t="s">
        <v>91</v>
      </c>
      <c r="I152" s="34" t="s">
        <v>90</v>
      </c>
      <c r="J152" s="34" t="s">
        <v>91</v>
      </c>
      <c r="K152" s="34" t="s">
        <v>91</v>
      </c>
      <c r="L152" s="34" t="s">
        <v>90</v>
      </c>
      <c r="M152" s="34" t="s">
        <v>91</v>
      </c>
      <c r="N152">
        <v>86647</v>
      </c>
    </row>
    <row r="153" spans="1:14">
      <c r="A153">
        <f t="shared" si="8"/>
        <v>50821</v>
      </c>
      <c r="B153">
        <f t="shared" si="9"/>
        <v>150</v>
      </c>
      <c r="C153" s="69" t="s">
        <v>71</v>
      </c>
      <c r="D153">
        <v>2250</v>
      </c>
      <c r="E153">
        <v>710</v>
      </c>
      <c r="F153" s="34">
        <v>1</v>
      </c>
      <c r="G153" s="34">
        <v>1</v>
      </c>
      <c r="H153" s="34" t="s">
        <v>91</v>
      </c>
      <c r="I153" s="34" t="s">
        <v>90</v>
      </c>
      <c r="J153" s="34" t="s">
        <v>90</v>
      </c>
      <c r="K153" s="34" t="s">
        <v>91</v>
      </c>
      <c r="L153" s="34" t="s">
        <v>90</v>
      </c>
      <c r="M153" s="34" t="s">
        <v>91</v>
      </c>
      <c r="N153">
        <v>50821</v>
      </c>
    </row>
    <row r="154" spans="1:14">
      <c r="C154" s="33"/>
      <c r="D154" s="35"/>
      <c r="E154" s="35"/>
    </row>
    <row r="155" spans="1:14">
      <c r="C155" s="33"/>
      <c r="D155" s="35"/>
      <c r="E155" s="35"/>
    </row>
    <row r="156" spans="1:14">
      <c r="C156" s="33"/>
      <c r="D156" s="35"/>
      <c r="E156" s="35"/>
    </row>
    <row r="157" spans="1:14">
      <c r="C157" s="33"/>
      <c r="D157" s="35"/>
      <c r="E157" s="35"/>
    </row>
    <row r="158" spans="1:14">
      <c r="C158" s="33"/>
      <c r="D158" s="35"/>
      <c r="E158" s="35"/>
    </row>
    <row r="159" spans="1:14">
      <c r="C159" s="33"/>
      <c r="D159" s="35"/>
      <c r="E159" s="35"/>
    </row>
    <row r="160" spans="1:14">
      <c r="C160" s="33"/>
      <c r="D160" s="35"/>
      <c r="E160" s="35"/>
    </row>
    <row r="161" spans="3:5">
      <c r="C161" s="33"/>
      <c r="D161" s="35"/>
      <c r="E161" s="35"/>
    </row>
    <row r="162" spans="3:5">
      <c r="C162" s="33"/>
      <c r="D162" s="35"/>
      <c r="E162" s="35"/>
    </row>
    <row r="163" spans="3:5">
      <c r="C163" s="33"/>
      <c r="D163" s="35"/>
      <c r="E163" s="35"/>
    </row>
    <row r="164" spans="3:5">
      <c r="C164" s="33"/>
      <c r="D164" s="35"/>
      <c r="E164" s="35"/>
    </row>
    <row r="165" spans="3:5">
      <c r="C165" s="33"/>
      <c r="D165" s="35"/>
      <c r="E165" s="35"/>
    </row>
    <row r="166" spans="3:5">
      <c r="C166" s="33"/>
    </row>
    <row r="167" spans="3:5">
      <c r="C167" s="33"/>
    </row>
    <row r="168" spans="3:5">
      <c r="C168" s="33"/>
    </row>
    <row r="169" spans="3:5">
      <c r="C169" s="33"/>
    </row>
    <row r="170" spans="3:5">
      <c r="C170" s="33"/>
    </row>
    <row r="171" spans="3:5">
      <c r="C171" s="33"/>
    </row>
  </sheetData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D144"/>
  <sheetViews>
    <sheetView topLeftCell="A91" workbookViewId="0">
      <selection activeCell="G117" sqref="G117"/>
    </sheetView>
  </sheetViews>
  <sheetFormatPr baseColWidth="10" defaultColWidth="8.875" defaultRowHeight="15"/>
  <sheetData>
    <row r="2" spans="1:4">
      <c r="A2" t="s">
        <v>136</v>
      </c>
    </row>
    <row r="3" spans="1:4">
      <c r="B3" t="s">
        <v>23</v>
      </c>
      <c r="D3">
        <v>5</v>
      </c>
    </row>
    <row r="4" spans="1:4">
      <c r="B4" t="s">
        <v>25</v>
      </c>
      <c r="D4">
        <v>4</v>
      </c>
    </row>
    <row r="5" spans="1:4">
      <c r="B5" t="s">
        <v>22</v>
      </c>
      <c r="D5">
        <v>3</v>
      </c>
    </row>
    <row r="6" spans="1:4">
      <c r="B6" t="s">
        <v>24</v>
      </c>
      <c r="D6">
        <v>2</v>
      </c>
    </row>
    <row r="7" spans="1:4">
      <c r="B7" t="s">
        <v>26</v>
      </c>
      <c r="D7">
        <v>1</v>
      </c>
    </row>
    <row r="8" spans="1:4">
      <c r="A8" t="s">
        <v>32</v>
      </c>
    </row>
    <row r="9" spans="1:4">
      <c r="B9" t="s">
        <v>27</v>
      </c>
      <c r="D9">
        <v>5</v>
      </c>
    </row>
    <row r="10" spans="1:4">
      <c r="B10" t="s">
        <v>28</v>
      </c>
      <c r="D10">
        <v>4</v>
      </c>
    </row>
    <row r="11" spans="1:4">
      <c r="B11" t="s">
        <v>29</v>
      </c>
      <c r="D11">
        <v>3</v>
      </c>
    </row>
    <row r="12" spans="1:4">
      <c r="B12" t="s">
        <v>30</v>
      </c>
      <c r="D12">
        <v>2</v>
      </c>
    </row>
    <row r="13" spans="1:4">
      <c r="B13" t="s">
        <v>31</v>
      </c>
      <c r="D13">
        <v>1</v>
      </c>
    </row>
    <row r="14" spans="1:4">
      <c r="A14" t="s">
        <v>137</v>
      </c>
    </row>
    <row r="15" spans="1:4">
      <c r="B15" t="s">
        <v>73</v>
      </c>
    </row>
    <row r="16" spans="1:4">
      <c r="B16" t="s">
        <v>72</v>
      </c>
    </row>
    <row r="17" spans="1:2">
      <c r="B17" t="s">
        <v>35</v>
      </c>
    </row>
    <row r="18" spans="1:2">
      <c r="B18" t="s">
        <v>205</v>
      </c>
    </row>
    <row r="19" spans="1:2">
      <c r="B19" t="s">
        <v>34</v>
      </c>
    </row>
    <row r="20" spans="1:2">
      <c r="A20" t="s">
        <v>138</v>
      </c>
    </row>
    <row r="21" spans="1:2">
      <c r="B21" t="s">
        <v>36</v>
      </c>
    </row>
    <row r="22" spans="1:2">
      <c r="B22" t="s">
        <v>206</v>
      </c>
    </row>
    <row r="23" spans="1:2">
      <c r="B23" t="s">
        <v>37</v>
      </c>
    </row>
    <row r="24" spans="1:2">
      <c r="B24" t="s">
        <v>38</v>
      </c>
    </row>
    <row r="25" spans="1:2">
      <c r="B25" t="s">
        <v>34</v>
      </c>
    </row>
    <row r="26" spans="1:2">
      <c r="A26" t="s">
        <v>139</v>
      </c>
    </row>
    <row r="27" spans="1:2">
      <c r="B27" t="s">
        <v>207</v>
      </c>
    </row>
    <row r="28" spans="1:2">
      <c r="B28" t="s">
        <v>39</v>
      </c>
    </row>
    <row r="29" spans="1:2">
      <c r="B29" t="s">
        <v>40</v>
      </c>
    </row>
    <row r="30" spans="1:2">
      <c r="B30" t="s">
        <v>41</v>
      </c>
    </row>
    <row r="31" spans="1:2">
      <c r="B31" t="s">
        <v>34</v>
      </c>
    </row>
    <row r="32" spans="1:2">
      <c r="A32" t="s">
        <v>209</v>
      </c>
    </row>
    <row r="33" spans="1:2">
      <c r="B33" t="s">
        <v>42</v>
      </c>
    </row>
    <row r="34" spans="1:2">
      <c r="B34" t="s">
        <v>43</v>
      </c>
    </row>
    <row r="35" spans="1:2">
      <c r="B35" t="s">
        <v>44</v>
      </c>
    </row>
    <row r="36" spans="1:2">
      <c r="B36" t="s">
        <v>208</v>
      </c>
    </row>
    <row r="37" spans="1:2">
      <c r="B37" t="s">
        <v>34</v>
      </c>
    </row>
    <row r="38" spans="1:2">
      <c r="A38" t="s">
        <v>141</v>
      </c>
    </row>
    <row r="39" spans="1:2">
      <c r="B39" t="s">
        <v>210</v>
      </c>
    </row>
    <row r="40" spans="1:2">
      <c r="B40" t="s">
        <v>211</v>
      </c>
    </row>
    <row r="41" spans="1:2">
      <c r="B41" t="s">
        <v>212</v>
      </c>
    </row>
    <row r="42" spans="1:2">
      <c r="B42" t="s">
        <v>213</v>
      </c>
    </row>
    <row r="43" spans="1:2">
      <c r="B43" t="s">
        <v>214</v>
      </c>
    </row>
    <row r="44" spans="1:2">
      <c r="A44" t="s">
        <v>215</v>
      </c>
    </row>
    <row r="45" spans="1:2">
      <c r="B45" t="s">
        <v>216</v>
      </c>
    </row>
    <row r="46" spans="1:2">
      <c r="B46" t="s">
        <v>217</v>
      </c>
    </row>
    <row r="47" spans="1:2">
      <c r="B47" t="s">
        <v>218</v>
      </c>
    </row>
    <row r="48" spans="1:2">
      <c r="B48" t="s">
        <v>219</v>
      </c>
    </row>
    <row r="49" spans="1:2">
      <c r="B49" t="s">
        <v>34</v>
      </c>
    </row>
    <row r="50" spans="1:2">
      <c r="A50" t="s">
        <v>142</v>
      </c>
    </row>
    <row r="51" spans="1:2">
      <c r="B51" t="s">
        <v>220</v>
      </c>
    </row>
    <row r="52" spans="1:2">
      <c r="B52" t="s">
        <v>221</v>
      </c>
    </row>
    <row r="53" spans="1:2">
      <c r="B53" t="s">
        <v>34</v>
      </c>
    </row>
    <row r="56" spans="1:2">
      <c r="A56" t="s">
        <v>222</v>
      </c>
    </row>
    <row r="57" spans="1:2">
      <c r="B57" s="25" t="s">
        <v>224</v>
      </c>
    </row>
    <row r="58" spans="1:2">
      <c r="B58" s="25" t="s">
        <v>223</v>
      </c>
    </row>
    <row r="59" spans="1:2">
      <c r="B59" s="25" t="s">
        <v>77</v>
      </c>
    </row>
    <row r="62" spans="1:2">
      <c r="A62" t="s">
        <v>143</v>
      </c>
    </row>
    <row r="63" spans="1:2">
      <c r="B63" t="s">
        <v>220</v>
      </c>
    </row>
    <row r="64" spans="1:2">
      <c r="B64" t="s">
        <v>221</v>
      </c>
    </row>
    <row r="65" spans="1:2">
      <c r="B65" t="s">
        <v>34</v>
      </c>
    </row>
    <row r="68" spans="1:2">
      <c r="A68" t="s">
        <v>144</v>
      </c>
    </row>
    <row r="69" spans="1:2">
      <c r="B69" t="s">
        <v>225</v>
      </c>
    </row>
    <row r="70" spans="1:2">
      <c r="B70" t="s">
        <v>226</v>
      </c>
    </row>
    <row r="71" spans="1:2">
      <c r="B71" t="s">
        <v>227</v>
      </c>
    </row>
    <row r="72" spans="1:2">
      <c r="B72" t="s">
        <v>228</v>
      </c>
    </row>
    <row r="74" spans="1:2">
      <c r="A74" t="s">
        <v>145</v>
      </c>
    </row>
    <row r="77" spans="1:2">
      <c r="A77" s="31" t="s">
        <v>81</v>
      </c>
    </row>
    <row r="78" spans="1:2">
      <c r="A78" s="31"/>
      <c r="B78" t="s">
        <v>89</v>
      </c>
    </row>
    <row r="79" spans="1:2">
      <c r="A79" s="31"/>
      <c r="B79">
        <v>1</v>
      </c>
    </row>
    <row r="80" spans="1:2">
      <c r="A80" s="31"/>
      <c r="B80">
        <v>2</v>
      </c>
    </row>
    <row r="81" spans="1:2">
      <c r="A81" s="31"/>
      <c r="B81">
        <v>3</v>
      </c>
    </row>
    <row r="82" spans="1:2">
      <c r="A82" s="31" t="s">
        <v>82</v>
      </c>
    </row>
    <row r="83" spans="1:2">
      <c r="A83" s="31"/>
      <c r="B83">
        <v>1</v>
      </c>
    </row>
    <row r="84" spans="1:2">
      <c r="A84" s="31"/>
      <c r="B84">
        <v>2</v>
      </c>
    </row>
    <row r="85" spans="1:2">
      <c r="A85" s="31"/>
      <c r="B85">
        <v>3</v>
      </c>
    </row>
    <row r="86" spans="1:2">
      <c r="A86" s="31" t="s">
        <v>87</v>
      </c>
    </row>
    <row r="87" spans="1:2">
      <c r="A87" s="31"/>
      <c r="B87" t="s">
        <v>90</v>
      </c>
    </row>
    <row r="88" spans="1:2">
      <c r="A88" s="31"/>
      <c r="B88" t="s">
        <v>91</v>
      </c>
    </row>
    <row r="89" spans="1:2">
      <c r="A89" s="31" t="s">
        <v>83</v>
      </c>
    </row>
    <row r="90" spans="1:2">
      <c r="A90" s="31"/>
      <c r="B90" t="s">
        <v>90</v>
      </c>
    </row>
    <row r="91" spans="1:2">
      <c r="A91" s="31"/>
      <c r="B91" t="s">
        <v>91</v>
      </c>
    </row>
    <row r="92" spans="1:2">
      <c r="A92" s="31" t="s">
        <v>84</v>
      </c>
    </row>
    <row r="93" spans="1:2">
      <c r="A93" s="31"/>
      <c r="B93" t="s">
        <v>90</v>
      </c>
    </row>
    <row r="94" spans="1:2">
      <c r="A94" s="31"/>
      <c r="B94" t="s">
        <v>91</v>
      </c>
    </row>
    <row r="95" spans="1:2">
      <c r="A95" s="31" t="s">
        <v>85</v>
      </c>
    </row>
    <row r="96" spans="1:2">
      <c r="A96" s="31"/>
      <c r="B96" t="s">
        <v>90</v>
      </c>
    </row>
    <row r="97" spans="1:2">
      <c r="A97" s="31"/>
      <c r="B97" t="s">
        <v>91</v>
      </c>
    </row>
    <row r="98" spans="1:2">
      <c r="A98" s="31" t="s">
        <v>88</v>
      </c>
    </row>
    <row r="99" spans="1:2">
      <c r="A99" s="31"/>
      <c r="B99" t="s">
        <v>90</v>
      </c>
    </row>
    <row r="100" spans="1:2">
      <c r="A100" s="31"/>
      <c r="B100" t="s">
        <v>91</v>
      </c>
    </row>
    <row r="101" spans="1:2">
      <c r="A101" s="31" t="s">
        <v>86</v>
      </c>
    </row>
    <row r="102" spans="1:2">
      <c r="B102" t="s">
        <v>90</v>
      </c>
    </row>
    <row r="103" spans="1:2">
      <c r="B103" t="s">
        <v>91</v>
      </c>
    </row>
    <row r="106" spans="1:2">
      <c r="A106">
        <v>1</v>
      </c>
    </row>
    <row r="107" spans="1:2">
      <c r="A107">
        <v>2</v>
      </c>
    </row>
    <row r="108" spans="1:2">
      <c r="A108">
        <v>3</v>
      </c>
    </row>
    <row r="109" spans="1:2">
      <c r="A109">
        <v>4</v>
      </c>
    </row>
    <row r="110" spans="1:2">
      <c r="A110">
        <v>5</v>
      </c>
    </row>
    <row r="111" spans="1:2">
      <c r="A111">
        <v>6</v>
      </c>
    </row>
    <row r="112" spans="1:2">
      <c r="A112">
        <v>7</v>
      </c>
    </row>
    <row r="113" spans="1:1">
      <c r="A113">
        <v>8</v>
      </c>
    </row>
    <row r="114" spans="1:1">
      <c r="A114">
        <v>9</v>
      </c>
    </row>
    <row r="115" spans="1:1">
      <c r="A115">
        <v>10</v>
      </c>
    </row>
    <row r="116" spans="1:1">
      <c r="A116">
        <v>11</v>
      </c>
    </row>
    <row r="117" spans="1:1">
      <c r="A117">
        <v>12</v>
      </c>
    </row>
    <row r="118" spans="1:1">
      <c r="A118">
        <v>13</v>
      </c>
    </row>
    <row r="119" spans="1:1">
      <c r="A119">
        <v>14</v>
      </c>
    </row>
    <row r="120" spans="1:1">
      <c r="A120">
        <v>15</v>
      </c>
    </row>
    <row r="121" spans="1:1">
      <c r="A121">
        <v>16</v>
      </c>
    </row>
    <row r="122" spans="1:1">
      <c r="A122">
        <v>17</v>
      </c>
    </row>
    <row r="123" spans="1:1">
      <c r="A123">
        <v>18</v>
      </c>
    </row>
    <row r="124" spans="1:1">
      <c r="A124">
        <v>19</v>
      </c>
    </row>
    <row r="125" spans="1:1">
      <c r="A125">
        <v>20</v>
      </c>
    </row>
    <row r="126" spans="1:1">
      <c r="A126">
        <v>21</v>
      </c>
    </row>
    <row r="127" spans="1:1">
      <c r="A127">
        <v>22</v>
      </c>
    </row>
    <row r="128" spans="1:1">
      <c r="A128">
        <v>23</v>
      </c>
    </row>
    <row r="129" spans="1:1">
      <c r="A129">
        <v>24</v>
      </c>
    </row>
    <row r="130" spans="1:1">
      <c r="A130">
        <v>25</v>
      </c>
    </row>
    <row r="131" spans="1:1">
      <c r="A131">
        <v>26</v>
      </c>
    </row>
    <row r="132" spans="1:1">
      <c r="A132">
        <v>27</v>
      </c>
    </row>
    <row r="133" spans="1:1">
      <c r="A133">
        <v>28</v>
      </c>
    </row>
    <row r="134" spans="1:1">
      <c r="A134">
        <v>29</v>
      </c>
    </row>
    <row r="135" spans="1:1">
      <c r="A135">
        <v>30</v>
      </c>
    </row>
    <row r="136" spans="1:1">
      <c r="A136">
        <v>31</v>
      </c>
    </row>
    <row r="137" spans="1:1">
      <c r="A137">
        <v>32</v>
      </c>
    </row>
    <row r="138" spans="1:1">
      <c r="A138">
        <v>33</v>
      </c>
    </row>
    <row r="139" spans="1:1">
      <c r="A139">
        <v>34</v>
      </c>
    </row>
    <row r="140" spans="1:1">
      <c r="A140">
        <v>35</v>
      </c>
    </row>
    <row r="141" spans="1:1">
      <c r="A141">
        <v>36</v>
      </c>
    </row>
    <row r="142" spans="1:1">
      <c r="A142">
        <v>37</v>
      </c>
    </row>
    <row r="143" spans="1:1">
      <c r="A143">
        <v>38</v>
      </c>
    </row>
    <row r="144" spans="1:1">
      <c r="A144">
        <v>39</v>
      </c>
    </row>
  </sheetData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K51"/>
  <sheetViews>
    <sheetView workbookViewId="0">
      <pane xSplit="2" ySplit="3" topLeftCell="BE4" activePane="bottomRight" state="frozen"/>
      <selection pane="topRight" activeCell="C1" sqref="C1"/>
      <selection pane="bottomLeft" activeCell="A4" sqref="A4"/>
      <selection pane="bottomRight" activeCell="BR3" sqref="BR3"/>
    </sheetView>
  </sheetViews>
  <sheetFormatPr baseColWidth="10" defaultColWidth="8.875" defaultRowHeight="15"/>
  <cols>
    <col min="2" max="2" width="25" customWidth="1"/>
    <col min="3" max="3" width="12.375" bestFit="1" customWidth="1"/>
    <col min="4" max="4" width="15.375" bestFit="1" customWidth="1"/>
    <col min="5" max="5" width="11" bestFit="1" customWidth="1"/>
    <col min="6" max="6" width="15.125" bestFit="1" customWidth="1"/>
    <col min="7" max="7" width="7.375" customWidth="1"/>
    <col min="8" max="8" width="15.75" bestFit="1" customWidth="1"/>
    <col min="9" max="9" width="13.375" bestFit="1" customWidth="1"/>
    <col min="10" max="10" width="9.25" bestFit="1" customWidth="1"/>
    <col min="11" max="11" width="9.375" bestFit="1" customWidth="1"/>
    <col min="12" max="12" width="7.75" customWidth="1"/>
    <col min="43" max="43" width="9.75" customWidth="1"/>
    <col min="44" max="44" width="10.375" customWidth="1"/>
    <col min="53" max="53" width="9.75" customWidth="1"/>
    <col min="54" max="54" width="11.125" customWidth="1"/>
  </cols>
  <sheetData>
    <row r="1" spans="1:62"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</row>
    <row r="2" spans="1:62" ht="16" thickBot="1">
      <c r="B2" s="2"/>
      <c r="C2" s="153" t="s">
        <v>33</v>
      </c>
      <c r="D2" s="154"/>
      <c r="E2" s="154"/>
      <c r="F2" s="154"/>
      <c r="G2" s="155"/>
      <c r="H2" s="156" t="s">
        <v>14</v>
      </c>
      <c r="I2" s="157"/>
      <c r="J2" s="157"/>
      <c r="K2" s="157"/>
      <c r="L2" s="158"/>
      <c r="M2" s="159" t="s">
        <v>137</v>
      </c>
      <c r="N2" s="160"/>
      <c r="O2" s="160"/>
      <c r="P2" s="160"/>
      <c r="Q2" s="161"/>
      <c r="R2" s="162" t="s">
        <v>138</v>
      </c>
      <c r="S2" s="162" t="s">
        <v>138</v>
      </c>
      <c r="T2" s="162" t="s">
        <v>138</v>
      </c>
      <c r="U2" s="162" t="s">
        <v>138</v>
      </c>
      <c r="V2" s="162" t="s">
        <v>138</v>
      </c>
      <c r="W2" s="163" t="s">
        <v>139</v>
      </c>
      <c r="X2" s="163" t="s">
        <v>139</v>
      </c>
      <c r="Y2" s="163" t="s">
        <v>139</v>
      </c>
      <c r="Z2" s="163" t="s">
        <v>139</v>
      </c>
      <c r="AA2" s="163" t="s">
        <v>139</v>
      </c>
      <c r="AB2" s="164" t="s">
        <v>15</v>
      </c>
      <c r="AC2" s="164" t="s">
        <v>140</v>
      </c>
      <c r="AD2" s="164" t="s">
        <v>140</v>
      </c>
      <c r="AE2" s="164" t="s">
        <v>140</v>
      </c>
      <c r="AF2" s="164" t="s">
        <v>140</v>
      </c>
      <c r="AG2" s="165" t="s">
        <v>141</v>
      </c>
      <c r="AH2" s="165"/>
      <c r="AI2" s="165"/>
      <c r="AJ2" s="165"/>
      <c r="AK2" s="165"/>
      <c r="AL2" s="164" t="s">
        <v>45</v>
      </c>
      <c r="AM2" s="164"/>
      <c r="AN2" s="164"/>
      <c r="AO2" s="164"/>
      <c r="AP2" s="164"/>
      <c r="AQ2" s="162" t="s">
        <v>142</v>
      </c>
      <c r="AR2" s="162"/>
      <c r="AS2" s="162"/>
      <c r="AT2" s="162"/>
      <c r="AU2" s="162"/>
      <c r="AV2" s="166" t="s">
        <v>79</v>
      </c>
      <c r="AW2" s="166"/>
      <c r="AX2" s="166"/>
      <c r="AY2" s="166"/>
      <c r="AZ2" s="166"/>
      <c r="BA2" s="164" t="s">
        <v>46</v>
      </c>
      <c r="BB2" s="164"/>
      <c r="BC2" s="164"/>
      <c r="BD2" s="164"/>
      <c r="BE2" s="164"/>
      <c r="BF2" s="165" t="s">
        <v>47</v>
      </c>
      <c r="BG2" s="165"/>
      <c r="BH2" s="165"/>
      <c r="BI2" s="165"/>
      <c r="BJ2" s="165"/>
    </row>
    <row r="3" spans="1:62" ht="31" thickBot="1">
      <c r="A3" t="s">
        <v>230</v>
      </c>
      <c r="B3" s="6" t="s">
        <v>146</v>
      </c>
      <c r="C3" s="7" t="s">
        <v>23</v>
      </c>
      <c r="D3" s="7" t="s">
        <v>25</v>
      </c>
      <c r="E3" s="7" t="s">
        <v>22</v>
      </c>
      <c r="F3" s="7" t="s">
        <v>24</v>
      </c>
      <c r="G3" s="7" t="s">
        <v>26</v>
      </c>
      <c r="H3" s="7" t="s">
        <v>27</v>
      </c>
      <c r="I3" s="7" t="s">
        <v>28</v>
      </c>
      <c r="J3" s="7" t="s">
        <v>29</v>
      </c>
      <c r="K3" s="7" t="s">
        <v>30</v>
      </c>
      <c r="L3" s="7" t="s">
        <v>31</v>
      </c>
      <c r="M3" t="s">
        <v>73</v>
      </c>
      <c r="N3" t="s">
        <v>72</v>
      </c>
      <c r="O3" t="s">
        <v>35</v>
      </c>
      <c r="P3" t="s">
        <v>205</v>
      </c>
      <c r="Q3" t="s">
        <v>34</v>
      </c>
      <c r="R3" t="s">
        <v>36</v>
      </c>
      <c r="S3" t="s">
        <v>206</v>
      </c>
      <c r="T3" t="s">
        <v>37</v>
      </c>
      <c r="U3" t="s">
        <v>38</v>
      </c>
      <c r="V3" t="s">
        <v>34</v>
      </c>
      <c r="W3" t="s">
        <v>207</v>
      </c>
      <c r="X3" t="s">
        <v>39</v>
      </c>
      <c r="Y3" t="s">
        <v>40</v>
      </c>
      <c r="Z3" t="s">
        <v>41</v>
      </c>
      <c r="AA3" t="s">
        <v>34</v>
      </c>
      <c r="AB3" t="s">
        <v>42</v>
      </c>
      <c r="AC3" t="s">
        <v>43</v>
      </c>
      <c r="AD3" t="s">
        <v>44</v>
      </c>
      <c r="AE3" t="s">
        <v>208</v>
      </c>
      <c r="AF3" t="s">
        <v>34</v>
      </c>
      <c r="AG3" t="s">
        <v>210</v>
      </c>
      <c r="AH3" t="s">
        <v>211</v>
      </c>
      <c r="AI3" t="s">
        <v>212</v>
      </c>
      <c r="AJ3" t="s">
        <v>213</v>
      </c>
      <c r="AK3" t="s">
        <v>214</v>
      </c>
      <c r="AL3" t="s">
        <v>216</v>
      </c>
      <c r="AM3" t="s">
        <v>217</v>
      </c>
      <c r="AN3" t="s">
        <v>218</v>
      </c>
      <c r="AO3" t="s">
        <v>219</v>
      </c>
      <c r="AP3" t="s">
        <v>34</v>
      </c>
      <c r="AQ3" s="23" t="s">
        <v>220</v>
      </c>
      <c r="AR3" s="23" t="s">
        <v>221</v>
      </c>
      <c r="AS3" s="23" t="s">
        <v>34</v>
      </c>
      <c r="AT3" s="24"/>
      <c r="AU3" s="24"/>
      <c r="AV3" s="23" t="s">
        <v>224</v>
      </c>
      <c r="AW3" s="23" t="s">
        <v>223</v>
      </c>
      <c r="AX3" s="23" t="s">
        <v>77</v>
      </c>
      <c r="AY3" s="24"/>
      <c r="AZ3" s="24"/>
      <c r="BA3" s="23" t="s">
        <v>220</v>
      </c>
      <c r="BB3" s="23" t="s">
        <v>221</v>
      </c>
      <c r="BC3" s="23" t="s">
        <v>34</v>
      </c>
      <c r="BD3" s="24"/>
      <c r="BE3" s="24"/>
      <c r="BF3" s="23" t="s">
        <v>225</v>
      </c>
      <c r="BG3" s="23" t="s">
        <v>226</v>
      </c>
      <c r="BH3" s="23" t="s">
        <v>227</v>
      </c>
      <c r="BI3" s="23" t="s">
        <v>228</v>
      </c>
      <c r="BJ3" s="24"/>
    </row>
    <row r="4" spans="1:62">
      <c r="A4">
        <v>1</v>
      </c>
      <c r="B4" s="9" t="s">
        <v>11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0</v>
      </c>
      <c r="J4">
        <f>I4+1</f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2</v>
      </c>
      <c r="U4">
        <v>1</v>
      </c>
      <c r="V4">
        <v>0</v>
      </c>
      <c r="W4">
        <v>1</v>
      </c>
      <c r="X4">
        <v>2</v>
      </c>
      <c r="Y4">
        <v>1</v>
      </c>
      <c r="Z4">
        <v>2</v>
      </c>
      <c r="AA4" s="26">
        <v>0</v>
      </c>
      <c r="AB4" s="26">
        <v>0</v>
      </c>
      <c r="AC4" s="26">
        <v>1</v>
      </c>
      <c r="AD4">
        <v>1</v>
      </c>
      <c r="AE4">
        <v>1</v>
      </c>
      <c r="AF4" s="26">
        <v>0</v>
      </c>
      <c r="AG4" s="26">
        <v>1</v>
      </c>
      <c r="AH4" s="26">
        <v>0</v>
      </c>
      <c r="AI4" s="26">
        <v>0</v>
      </c>
      <c r="AJ4">
        <v>1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26">
        <v>0</v>
      </c>
      <c r="AQ4">
        <v>0</v>
      </c>
      <c r="AR4">
        <v>0</v>
      </c>
      <c r="AS4">
        <v>0</v>
      </c>
      <c r="AV4">
        <v>0</v>
      </c>
      <c r="AW4">
        <v>1</v>
      </c>
      <c r="AX4">
        <v>0</v>
      </c>
      <c r="BA4">
        <v>0</v>
      </c>
      <c r="BB4">
        <v>1</v>
      </c>
      <c r="BC4">
        <v>0</v>
      </c>
      <c r="BF4">
        <v>1</v>
      </c>
      <c r="BG4">
        <v>1</v>
      </c>
      <c r="BH4">
        <v>1</v>
      </c>
      <c r="BI4">
        <v>0</v>
      </c>
    </row>
    <row r="5" spans="1:62">
      <c r="A5">
        <f>A4+1</f>
        <v>2</v>
      </c>
      <c r="B5" s="10" t="s">
        <v>6</v>
      </c>
      <c r="C5">
        <v>1</v>
      </c>
      <c r="D5">
        <v>1</v>
      </c>
      <c r="E5">
        <v>1</v>
      </c>
      <c r="F5">
        <v>0</v>
      </c>
      <c r="G5">
        <v>1</v>
      </c>
      <c r="H5">
        <v>1</v>
      </c>
      <c r="I5">
        <v>1</v>
      </c>
      <c r="J5">
        <f t="shared" ref="J5:J49" si="0">I5+1</f>
        <v>2</v>
      </c>
      <c r="K5">
        <v>1</v>
      </c>
      <c r="L5">
        <v>0</v>
      </c>
      <c r="M5">
        <v>0</v>
      </c>
      <c r="N5">
        <v>0</v>
      </c>
      <c r="O5">
        <v>0</v>
      </c>
      <c r="P5">
        <v>2</v>
      </c>
      <c r="Q5">
        <v>0</v>
      </c>
      <c r="R5">
        <v>0</v>
      </c>
      <c r="S5">
        <v>2</v>
      </c>
      <c r="T5">
        <v>2</v>
      </c>
      <c r="U5">
        <v>1</v>
      </c>
      <c r="V5">
        <v>0</v>
      </c>
      <c r="W5">
        <v>1</v>
      </c>
      <c r="X5">
        <v>0</v>
      </c>
      <c r="Y5">
        <v>1</v>
      </c>
      <c r="Z5">
        <v>1</v>
      </c>
      <c r="AA5" s="26">
        <v>0</v>
      </c>
      <c r="AB5" s="26">
        <v>1</v>
      </c>
      <c r="AC5" s="26">
        <v>2</v>
      </c>
      <c r="AD5">
        <v>1</v>
      </c>
      <c r="AE5">
        <v>1</v>
      </c>
      <c r="AF5" s="26">
        <v>0</v>
      </c>
      <c r="AG5" s="26">
        <v>1</v>
      </c>
      <c r="AH5" s="26">
        <v>1</v>
      </c>
      <c r="AI5" s="26">
        <v>0</v>
      </c>
      <c r="AJ5">
        <v>1</v>
      </c>
      <c r="AK5" s="26">
        <v>0</v>
      </c>
      <c r="AL5" s="26">
        <v>0</v>
      </c>
      <c r="AM5" s="26">
        <v>0</v>
      </c>
      <c r="AN5" s="26">
        <v>1</v>
      </c>
      <c r="AO5" s="26">
        <v>1</v>
      </c>
      <c r="AP5" s="26">
        <v>0</v>
      </c>
      <c r="AQ5">
        <v>0</v>
      </c>
      <c r="AR5">
        <v>1</v>
      </c>
      <c r="AS5">
        <v>0</v>
      </c>
      <c r="AV5">
        <v>0</v>
      </c>
      <c r="AW5">
        <v>0</v>
      </c>
      <c r="AX5">
        <v>0</v>
      </c>
      <c r="BA5">
        <v>1</v>
      </c>
      <c r="BB5">
        <v>1</v>
      </c>
      <c r="BC5">
        <v>0</v>
      </c>
      <c r="BF5">
        <v>1</v>
      </c>
      <c r="BG5">
        <v>1</v>
      </c>
      <c r="BH5">
        <v>1</v>
      </c>
      <c r="BI5">
        <v>0</v>
      </c>
    </row>
    <row r="6" spans="1:62">
      <c r="A6">
        <f t="shared" ref="A6:A49" si="1">A5+1</f>
        <v>3</v>
      </c>
      <c r="B6" s="10" t="s">
        <v>57</v>
      </c>
      <c r="C6">
        <v>1</v>
      </c>
      <c r="D6">
        <v>1</v>
      </c>
      <c r="E6">
        <v>0</v>
      </c>
      <c r="F6">
        <v>0</v>
      </c>
      <c r="G6">
        <v>1</v>
      </c>
      <c r="H6">
        <v>2</v>
      </c>
      <c r="I6">
        <v>0</v>
      </c>
      <c r="J6">
        <f t="shared" si="0"/>
        <v>1</v>
      </c>
      <c r="K6">
        <v>1</v>
      </c>
      <c r="L6">
        <v>0</v>
      </c>
      <c r="M6">
        <v>0</v>
      </c>
      <c r="N6">
        <v>0</v>
      </c>
      <c r="O6">
        <v>0</v>
      </c>
      <c r="P6">
        <v>2</v>
      </c>
      <c r="Q6">
        <v>0</v>
      </c>
      <c r="R6">
        <v>1</v>
      </c>
      <c r="S6">
        <v>2</v>
      </c>
      <c r="T6">
        <v>1</v>
      </c>
      <c r="U6">
        <v>1</v>
      </c>
      <c r="V6">
        <v>0</v>
      </c>
      <c r="W6">
        <v>0</v>
      </c>
      <c r="X6">
        <v>1</v>
      </c>
      <c r="Y6">
        <v>0</v>
      </c>
      <c r="Z6">
        <v>1</v>
      </c>
      <c r="AA6" s="26">
        <v>0</v>
      </c>
      <c r="AB6" s="26">
        <v>0</v>
      </c>
      <c r="AC6" s="26">
        <v>1</v>
      </c>
      <c r="AD6">
        <v>1</v>
      </c>
      <c r="AE6">
        <v>1</v>
      </c>
      <c r="AF6" s="26">
        <v>0</v>
      </c>
      <c r="AG6" s="26">
        <v>1</v>
      </c>
      <c r="AH6" s="26">
        <v>0</v>
      </c>
      <c r="AI6" s="26">
        <v>0</v>
      </c>
      <c r="AJ6">
        <v>1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>
        <v>0</v>
      </c>
      <c r="AR6">
        <v>1</v>
      </c>
      <c r="AS6">
        <v>0</v>
      </c>
      <c r="AV6">
        <v>0</v>
      </c>
      <c r="AW6">
        <v>0</v>
      </c>
      <c r="AX6">
        <v>0</v>
      </c>
      <c r="BA6">
        <v>0</v>
      </c>
      <c r="BB6">
        <v>1</v>
      </c>
      <c r="BC6">
        <v>0</v>
      </c>
      <c r="BF6">
        <v>1</v>
      </c>
      <c r="BG6">
        <v>1</v>
      </c>
      <c r="BH6">
        <v>1</v>
      </c>
      <c r="BI6">
        <v>0</v>
      </c>
    </row>
    <row r="7" spans="1:62">
      <c r="A7">
        <f t="shared" si="1"/>
        <v>4</v>
      </c>
      <c r="B7" s="10" t="s">
        <v>10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0</v>
      </c>
      <c r="J7">
        <f t="shared" si="0"/>
        <v>1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2</v>
      </c>
      <c r="U7">
        <v>0</v>
      </c>
      <c r="V7">
        <v>0</v>
      </c>
      <c r="W7">
        <v>2</v>
      </c>
      <c r="X7">
        <v>2</v>
      </c>
      <c r="Y7">
        <v>1</v>
      </c>
      <c r="Z7">
        <v>1</v>
      </c>
      <c r="AA7" s="26">
        <v>0</v>
      </c>
      <c r="AB7" s="26">
        <v>1</v>
      </c>
      <c r="AC7">
        <v>2</v>
      </c>
      <c r="AD7">
        <v>1</v>
      </c>
      <c r="AE7">
        <v>2</v>
      </c>
      <c r="AF7" s="26">
        <v>0</v>
      </c>
      <c r="AG7" s="26">
        <v>1</v>
      </c>
      <c r="AH7" s="26">
        <v>0</v>
      </c>
      <c r="AI7" s="26">
        <v>0</v>
      </c>
      <c r="AJ7">
        <v>1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>
        <v>0</v>
      </c>
      <c r="AR7">
        <v>0</v>
      </c>
      <c r="AS7">
        <v>0</v>
      </c>
      <c r="AV7">
        <v>0</v>
      </c>
      <c r="AW7">
        <v>1</v>
      </c>
      <c r="AX7">
        <v>0</v>
      </c>
      <c r="BA7">
        <v>0</v>
      </c>
      <c r="BB7">
        <v>1</v>
      </c>
      <c r="BC7">
        <v>0</v>
      </c>
      <c r="BF7">
        <v>1</v>
      </c>
      <c r="BG7">
        <v>1</v>
      </c>
      <c r="BH7">
        <v>1</v>
      </c>
      <c r="BI7">
        <v>0</v>
      </c>
    </row>
    <row r="8" spans="1:62">
      <c r="A8">
        <f t="shared" si="1"/>
        <v>5</v>
      </c>
      <c r="B8" s="10" t="s">
        <v>9</v>
      </c>
      <c r="C8">
        <v>0</v>
      </c>
      <c r="D8">
        <v>0</v>
      </c>
      <c r="E8">
        <v>0</v>
      </c>
      <c r="F8">
        <v>0</v>
      </c>
      <c r="G8">
        <v>1</v>
      </c>
      <c r="H8">
        <v>1</v>
      </c>
      <c r="I8">
        <v>1</v>
      </c>
      <c r="J8">
        <f t="shared" si="0"/>
        <v>2</v>
      </c>
      <c r="K8">
        <v>0</v>
      </c>
      <c r="L8">
        <v>0</v>
      </c>
      <c r="M8">
        <v>0</v>
      </c>
      <c r="N8">
        <v>0</v>
      </c>
      <c r="O8">
        <v>0</v>
      </c>
      <c r="P8">
        <v>2</v>
      </c>
      <c r="Q8">
        <v>0</v>
      </c>
      <c r="R8">
        <v>0</v>
      </c>
      <c r="S8">
        <v>2</v>
      </c>
      <c r="T8">
        <v>1</v>
      </c>
      <c r="U8">
        <v>1</v>
      </c>
      <c r="V8">
        <v>0</v>
      </c>
      <c r="W8">
        <v>0</v>
      </c>
      <c r="X8">
        <v>1</v>
      </c>
      <c r="Y8">
        <v>1</v>
      </c>
      <c r="Z8">
        <v>1</v>
      </c>
      <c r="AA8" s="26">
        <v>0</v>
      </c>
      <c r="AB8" s="26">
        <v>0</v>
      </c>
      <c r="AC8" s="26">
        <v>1</v>
      </c>
      <c r="AD8">
        <v>1</v>
      </c>
      <c r="AE8">
        <v>1</v>
      </c>
      <c r="AF8" s="26">
        <v>0</v>
      </c>
      <c r="AG8" s="26">
        <v>1</v>
      </c>
      <c r="AH8" s="26">
        <v>0</v>
      </c>
      <c r="AI8" s="26">
        <v>0</v>
      </c>
      <c r="AJ8">
        <v>1</v>
      </c>
      <c r="AK8" s="26">
        <v>0</v>
      </c>
      <c r="AL8" s="26">
        <v>0</v>
      </c>
      <c r="AM8" s="26">
        <v>0</v>
      </c>
      <c r="AN8" s="26">
        <v>0</v>
      </c>
      <c r="AO8" s="26">
        <v>0</v>
      </c>
      <c r="AP8" s="26">
        <v>0</v>
      </c>
      <c r="AQ8">
        <v>0</v>
      </c>
      <c r="AR8">
        <v>0</v>
      </c>
      <c r="AS8">
        <v>0</v>
      </c>
      <c r="AV8">
        <v>0</v>
      </c>
      <c r="AW8">
        <v>0</v>
      </c>
      <c r="AX8">
        <v>0</v>
      </c>
      <c r="BA8">
        <v>0</v>
      </c>
      <c r="BB8">
        <v>1</v>
      </c>
      <c r="BC8">
        <v>0</v>
      </c>
      <c r="BF8">
        <v>1</v>
      </c>
      <c r="BG8">
        <v>1</v>
      </c>
      <c r="BH8">
        <v>1</v>
      </c>
      <c r="BI8">
        <v>0</v>
      </c>
    </row>
    <row r="9" spans="1:62">
      <c r="A9">
        <f t="shared" si="1"/>
        <v>6</v>
      </c>
      <c r="B9" s="10" t="s">
        <v>58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f t="shared" si="0"/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1</v>
      </c>
      <c r="T9">
        <v>1</v>
      </c>
      <c r="U9">
        <v>1</v>
      </c>
      <c r="V9">
        <v>0</v>
      </c>
      <c r="W9">
        <v>0</v>
      </c>
      <c r="X9">
        <v>0</v>
      </c>
      <c r="Y9">
        <v>1</v>
      </c>
      <c r="Z9">
        <v>1</v>
      </c>
      <c r="AA9" s="26">
        <v>0</v>
      </c>
      <c r="AB9" s="26">
        <v>0</v>
      </c>
      <c r="AC9" s="26">
        <v>1</v>
      </c>
      <c r="AD9">
        <v>1</v>
      </c>
      <c r="AE9">
        <v>1</v>
      </c>
      <c r="AF9" s="26">
        <v>0</v>
      </c>
      <c r="AG9" s="26">
        <v>1</v>
      </c>
      <c r="AH9" s="26">
        <v>0</v>
      </c>
      <c r="AI9" s="26">
        <v>0</v>
      </c>
      <c r="AJ9">
        <v>1</v>
      </c>
      <c r="AK9" s="26">
        <v>0</v>
      </c>
      <c r="AL9" s="26">
        <v>0</v>
      </c>
      <c r="AM9" s="26">
        <v>0</v>
      </c>
      <c r="AN9" s="26">
        <v>0</v>
      </c>
      <c r="AO9" s="26">
        <v>0</v>
      </c>
      <c r="AP9" s="26">
        <v>0</v>
      </c>
      <c r="AQ9">
        <v>0</v>
      </c>
      <c r="AR9">
        <v>1</v>
      </c>
      <c r="AS9">
        <v>0</v>
      </c>
      <c r="AV9">
        <v>0</v>
      </c>
      <c r="AW9">
        <v>1</v>
      </c>
      <c r="AX9">
        <v>0</v>
      </c>
      <c r="BA9">
        <v>0</v>
      </c>
      <c r="BB9">
        <v>1</v>
      </c>
      <c r="BC9">
        <v>0</v>
      </c>
      <c r="BF9">
        <v>1</v>
      </c>
      <c r="BG9">
        <v>1</v>
      </c>
      <c r="BH9">
        <v>1</v>
      </c>
      <c r="BI9">
        <v>0</v>
      </c>
    </row>
    <row r="10" spans="1:62">
      <c r="A10">
        <f t="shared" si="1"/>
        <v>7</v>
      </c>
      <c r="B10" s="10" t="s">
        <v>5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f t="shared" si="0"/>
        <v>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</v>
      </c>
      <c r="T10">
        <v>1</v>
      </c>
      <c r="U10">
        <v>1</v>
      </c>
      <c r="V10">
        <v>0</v>
      </c>
      <c r="W10">
        <v>1</v>
      </c>
      <c r="X10">
        <v>1</v>
      </c>
      <c r="Y10">
        <v>1</v>
      </c>
      <c r="Z10">
        <v>1</v>
      </c>
      <c r="AA10" s="26">
        <v>0</v>
      </c>
      <c r="AB10" s="26">
        <v>1</v>
      </c>
      <c r="AC10" s="26">
        <v>1</v>
      </c>
      <c r="AD10">
        <v>1</v>
      </c>
      <c r="AE10">
        <v>1</v>
      </c>
      <c r="AF10" s="26">
        <v>0</v>
      </c>
      <c r="AG10" s="26">
        <v>1</v>
      </c>
      <c r="AH10" s="26">
        <v>1</v>
      </c>
      <c r="AI10" s="26">
        <v>0</v>
      </c>
      <c r="AJ10">
        <v>1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>
        <v>0</v>
      </c>
      <c r="AR10">
        <v>1</v>
      </c>
      <c r="AS10">
        <v>0</v>
      </c>
      <c r="AV10">
        <v>0</v>
      </c>
      <c r="AW10">
        <v>1</v>
      </c>
      <c r="AX10">
        <v>0</v>
      </c>
      <c r="BA10">
        <v>0</v>
      </c>
      <c r="BB10">
        <v>1</v>
      </c>
      <c r="BC10">
        <v>0</v>
      </c>
      <c r="BF10">
        <v>0</v>
      </c>
      <c r="BG10">
        <v>1</v>
      </c>
      <c r="BH10">
        <v>1</v>
      </c>
      <c r="BI10">
        <v>0</v>
      </c>
    </row>
    <row r="11" spans="1:62">
      <c r="A11">
        <f t="shared" si="1"/>
        <v>8</v>
      </c>
      <c r="B11" s="10" t="s">
        <v>3</v>
      </c>
      <c r="C11">
        <v>0</v>
      </c>
      <c r="D11">
        <v>0</v>
      </c>
      <c r="E11">
        <v>0</v>
      </c>
      <c r="F11">
        <v>0</v>
      </c>
      <c r="G11">
        <v>1</v>
      </c>
      <c r="H11">
        <v>2</v>
      </c>
      <c r="I11">
        <v>0</v>
      </c>
      <c r="J11">
        <f t="shared" si="0"/>
        <v>1</v>
      </c>
      <c r="K11">
        <v>1</v>
      </c>
      <c r="L11">
        <v>0</v>
      </c>
      <c r="M11">
        <v>2</v>
      </c>
      <c r="N11">
        <v>1</v>
      </c>
      <c r="O11">
        <v>2</v>
      </c>
      <c r="P11">
        <v>1</v>
      </c>
      <c r="Q11">
        <v>0</v>
      </c>
      <c r="R11">
        <v>2</v>
      </c>
      <c r="S11">
        <v>2</v>
      </c>
      <c r="T11">
        <v>0</v>
      </c>
      <c r="U11">
        <v>0</v>
      </c>
      <c r="V11">
        <v>0</v>
      </c>
      <c r="W11">
        <v>2</v>
      </c>
      <c r="X11">
        <v>1</v>
      </c>
      <c r="Y11">
        <v>1</v>
      </c>
      <c r="Z11">
        <v>1</v>
      </c>
      <c r="AA11" s="26">
        <v>0</v>
      </c>
      <c r="AB11" s="26">
        <v>1</v>
      </c>
      <c r="AC11" s="26">
        <v>2</v>
      </c>
      <c r="AD11">
        <v>1</v>
      </c>
      <c r="AE11">
        <v>2</v>
      </c>
      <c r="AF11" s="26">
        <v>0</v>
      </c>
      <c r="AG11" s="26">
        <v>1</v>
      </c>
      <c r="AH11" s="26">
        <v>1</v>
      </c>
      <c r="AI11" s="26">
        <v>1</v>
      </c>
      <c r="AJ11">
        <v>1</v>
      </c>
      <c r="AK11" s="26">
        <v>0</v>
      </c>
      <c r="AL11" s="26">
        <v>0</v>
      </c>
      <c r="AM11" s="26">
        <v>0</v>
      </c>
      <c r="AN11" s="26">
        <v>1</v>
      </c>
      <c r="AO11" s="26">
        <v>1</v>
      </c>
      <c r="AP11" s="26">
        <v>0</v>
      </c>
      <c r="AQ11">
        <v>0</v>
      </c>
      <c r="AR11">
        <v>1</v>
      </c>
      <c r="AS11">
        <v>0</v>
      </c>
      <c r="AV11">
        <v>0</v>
      </c>
      <c r="AW11">
        <v>1</v>
      </c>
      <c r="AX11">
        <v>0</v>
      </c>
      <c r="BA11">
        <v>0</v>
      </c>
      <c r="BB11">
        <v>1</v>
      </c>
      <c r="BC11">
        <v>0</v>
      </c>
      <c r="BF11">
        <v>0</v>
      </c>
      <c r="BG11">
        <v>1</v>
      </c>
      <c r="BH11">
        <v>1</v>
      </c>
      <c r="BI11">
        <v>0</v>
      </c>
    </row>
    <row r="12" spans="1:62">
      <c r="A12">
        <f t="shared" si="1"/>
        <v>9</v>
      </c>
      <c r="B12" s="10" t="s">
        <v>4</v>
      </c>
      <c r="C12">
        <v>0</v>
      </c>
      <c r="D12">
        <v>0</v>
      </c>
      <c r="E12">
        <v>0</v>
      </c>
      <c r="F12">
        <v>0</v>
      </c>
      <c r="G12">
        <v>1</v>
      </c>
      <c r="H12">
        <v>2</v>
      </c>
      <c r="I12">
        <v>1</v>
      </c>
      <c r="J12">
        <f t="shared" si="0"/>
        <v>2</v>
      </c>
      <c r="K12">
        <v>1</v>
      </c>
      <c r="L12">
        <v>0</v>
      </c>
      <c r="M12">
        <v>2</v>
      </c>
      <c r="N12">
        <v>0</v>
      </c>
      <c r="O12">
        <v>1</v>
      </c>
      <c r="P12">
        <v>2</v>
      </c>
      <c r="Q12">
        <v>0</v>
      </c>
      <c r="R12">
        <v>2</v>
      </c>
      <c r="S12">
        <v>2</v>
      </c>
      <c r="T12">
        <v>1</v>
      </c>
      <c r="U12">
        <v>1</v>
      </c>
      <c r="V12">
        <v>0</v>
      </c>
      <c r="W12">
        <v>0</v>
      </c>
      <c r="X12">
        <v>1</v>
      </c>
      <c r="Y12">
        <v>0</v>
      </c>
      <c r="Z12">
        <v>1</v>
      </c>
      <c r="AA12" s="26">
        <v>0</v>
      </c>
      <c r="AB12" s="26">
        <v>0</v>
      </c>
      <c r="AC12" s="26">
        <v>0</v>
      </c>
      <c r="AD12">
        <v>0</v>
      </c>
      <c r="AE12">
        <v>1</v>
      </c>
      <c r="AF12" s="26">
        <v>0</v>
      </c>
      <c r="AG12" s="26">
        <v>0</v>
      </c>
      <c r="AH12" s="26">
        <v>0</v>
      </c>
      <c r="AI12" s="26">
        <v>0</v>
      </c>
      <c r="AJ12">
        <v>1</v>
      </c>
      <c r="AK12" s="26">
        <v>0</v>
      </c>
      <c r="AL12" s="26">
        <v>0</v>
      </c>
      <c r="AM12" s="26">
        <v>0</v>
      </c>
      <c r="AN12" s="26">
        <v>0</v>
      </c>
      <c r="AO12" s="26">
        <v>1</v>
      </c>
      <c r="AP12" s="26">
        <v>0</v>
      </c>
      <c r="AQ12">
        <v>0</v>
      </c>
      <c r="AR12">
        <v>1</v>
      </c>
      <c r="AS12">
        <v>0</v>
      </c>
      <c r="AV12">
        <v>0</v>
      </c>
      <c r="AW12">
        <v>0</v>
      </c>
      <c r="AX12">
        <v>0</v>
      </c>
      <c r="BA12">
        <v>0</v>
      </c>
      <c r="BB12">
        <v>1</v>
      </c>
      <c r="BC12">
        <v>0</v>
      </c>
      <c r="BF12">
        <v>0</v>
      </c>
      <c r="BG12">
        <v>1</v>
      </c>
      <c r="BH12">
        <v>1</v>
      </c>
      <c r="BI12">
        <v>0</v>
      </c>
    </row>
    <row r="13" spans="1:62">
      <c r="A13">
        <f t="shared" si="1"/>
        <v>10</v>
      </c>
      <c r="B13" s="17" t="s">
        <v>53</v>
      </c>
      <c r="C13">
        <v>0</v>
      </c>
      <c r="D13">
        <v>1</v>
      </c>
      <c r="E13">
        <v>0</v>
      </c>
      <c r="F13">
        <v>0</v>
      </c>
      <c r="G13">
        <v>1</v>
      </c>
      <c r="H13">
        <v>1</v>
      </c>
      <c r="I13">
        <v>1</v>
      </c>
      <c r="J13">
        <f t="shared" si="0"/>
        <v>2</v>
      </c>
      <c r="K13">
        <v>0</v>
      </c>
      <c r="L13">
        <v>0</v>
      </c>
      <c r="M13">
        <v>0</v>
      </c>
      <c r="N13">
        <v>0</v>
      </c>
      <c r="O13">
        <v>1</v>
      </c>
      <c r="P13">
        <v>0</v>
      </c>
      <c r="Q13">
        <v>0</v>
      </c>
      <c r="R13">
        <v>0</v>
      </c>
      <c r="S13">
        <v>1</v>
      </c>
      <c r="T13">
        <v>0</v>
      </c>
      <c r="U13">
        <v>1</v>
      </c>
      <c r="V13">
        <v>0</v>
      </c>
      <c r="W13">
        <v>0</v>
      </c>
      <c r="X13">
        <v>0</v>
      </c>
      <c r="Y13">
        <v>0</v>
      </c>
      <c r="Z13">
        <v>1</v>
      </c>
      <c r="AA13" s="26">
        <v>0</v>
      </c>
      <c r="AB13" s="26">
        <v>0</v>
      </c>
      <c r="AC13" s="26">
        <v>0</v>
      </c>
      <c r="AD13">
        <v>0</v>
      </c>
      <c r="AE13">
        <v>0</v>
      </c>
      <c r="AF13" s="26">
        <v>0</v>
      </c>
      <c r="AG13" s="26">
        <v>0</v>
      </c>
      <c r="AH13" s="26">
        <v>0</v>
      </c>
      <c r="AI13" s="26">
        <v>0</v>
      </c>
      <c r="AJ13">
        <v>1</v>
      </c>
      <c r="AK13" s="26">
        <v>0</v>
      </c>
      <c r="AL13" s="26">
        <v>0</v>
      </c>
      <c r="AM13" s="26">
        <v>0</v>
      </c>
      <c r="AN13" s="26">
        <v>0</v>
      </c>
      <c r="AO13" s="26">
        <v>0</v>
      </c>
      <c r="AP13" s="26">
        <v>0</v>
      </c>
      <c r="AQ13">
        <v>1</v>
      </c>
      <c r="AR13">
        <v>1</v>
      </c>
      <c r="AS13">
        <v>0</v>
      </c>
      <c r="AV13">
        <v>1</v>
      </c>
      <c r="AW13">
        <v>1</v>
      </c>
      <c r="AX13">
        <v>0</v>
      </c>
      <c r="BA13">
        <v>0</v>
      </c>
      <c r="BB13">
        <v>1</v>
      </c>
      <c r="BC13">
        <v>0</v>
      </c>
      <c r="BF13">
        <v>1</v>
      </c>
      <c r="BG13">
        <v>1</v>
      </c>
      <c r="BH13">
        <v>1</v>
      </c>
      <c r="BI13">
        <v>0</v>
      </c>
    </row>
    <row r="14" spans="1:62">
      <c r="A14">
        <f t="shared" si="1"/>
        <v>11</v>
      </c>
      <c r="B14" s="17" t="s">
        <v>12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f t="shared" si="0"/>
        <v>1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0</v>
      </c>
      <c r="U14">
        <v>1</v>
      </c>
      <c r="V14">
        <v>0</v>
      </c>
      <c r="W14">
        <v>0</v>
      </c>
      <c r="X14">
        <v>1</v>
      </c>
      <c r="Y14">
        <v>0</v>
      </c>
      <c r="Z14">
        <v>1</v>
      </c>
      <c r="AA14" s="26">
        <v>0</v>
      </c>
      <c r="AB14" s="26">
        <v>0</v>
      </c>
      <c r="AC14" s="26">
        <v>0</v>
      </c>
      <c r="AD14">
        <v>0</v>
      </c>
      <c r="AE14">
        <v>1</v>
      </c>
      <c r="AF14" s="26">
        <v>0</v>
      </c>
      <c r="AG14" s="26">
        <v>0</v>
      </c>
      <c r="AH14" s="26">
        <v>0</v>
      </c>
      <c r="AI14">
        <v>1</v>
      </c>
      <c r="AJ14">
        <v>1</v>
      </c>
      <c r="AK14" s="26">
        <v>0</v>
      </c>
      <c r="AL14" s="26">
        <v>0</v>
      </c>
      <c r="AM14" s="26">
        <v>0</v>
      </c>
      <c r="AN14" s="26">
        <v>1</v>
      </c>
      <c r="AO14" s="26">
        <v>1</v>
      </c>
      <c r="AP14" s="26">
        <v>0</v>
      </c>
      <c r="AQ14">
        <v>1</v>
      </c>
      <c r="AR14">
        <v>1</v>
      </c>
      <c r="AS14">
        <v>0</v>
      </c>
      <c r="AV14">
        <v>1</v>
      </c>
      <c r="AW14">
        <v>1</v>
      </c>
      <c r="AX14">
        <v>0</v>
      </c>
      <c r="BA14">
        <v>0</v>
      </c>
      <c r="BB14">
        <v>1</v>
      </c>
      <c r="BC14">
        <v>0</v>
      </c>
      <c r="BF14">
        <v>1</v>
      </c>
      <c r="BG14">
        <v>1</v>
      </c>
      <c r="BH14">
        <v>1</v>
      </c>
      <c r="BI14">
        <v>0</v>
      </c>
    </row>
    <row r="15" spans="1:62">
      <c r="A15">
        <f t="shared" si="1"/>
        <v>12</v>
      </c>
      <c r="B15" s="27" t="s">
        <v>78</v>
      </c>
      <c r="C15">
        <v>0</v>
      </c>
      <c r="D15">
        <v>0</v>
      </c>
      <c r="E15">
        <v>0</v>
      </c>
      <c r="F15">
        <v>0</v>
      </c>
      <c r="G15">
        <v>1</v>
      </c>
      <c r="H15">
        <v>2</v>
      </c>
      <c r="I15">
        <v>0</v>
      </c>
      <c r="J15">
        <f t="shared" si="0"/>
        <v>1</v>
      </c>
      <c r="K15">
        <v>0</v>
      </c>
      <c r="L15">
        <v>0</v>
      </c>
      <c r="M15">
        <v>1</v>
      </c>
      <c r="N15">
        <v>1</v>
      </c>
      <c r="O15">
        <v>1</v>
      </c>
      <c r="P15">
        <v>0</v>
      </c>
      <c r="Q15">
        <v>0</v>
      </c>
      <c r="R15">
        <v>2</v>
      </c>
      <c r="S15">
        <v>1</v>
      </c>
      <c r="T15">
        <v>0</v>
      </c>
      <c r="U15">
        <v>1</v>
      </c>
      <c r="V15">
        <v>0</v>
      </c>
      <c r="W15">
        <v>0</v>
      </c>
      <c r="X15">
        <v>0</v>
      </c>
      <c r="Y15">
        <v>0</v>
      </c>
      <c r="Z15">
        <v>1</v>
      </c>
      <c r="AA15" s="26">
        <v>0</v>
      </c>
      <c r="AB15" s="26">
        <v>0</v>
      </c>
      <c r="AC15" s="26">
        <v>0</v>
      </c>
      <c r="AD15">
        <v>0</v>
      </c>
      <c r="AE15">
        <v>0</v>
      </c>
      <c r="AF15" s="26">
        <v>0</v>
      </c>
      <c r="AG15" s="26">
        <v>0</v>
      </c>
      <c r="AH15" s="26">
        <v>0</v>
      </c>
      <c r="AI15">
        <v>1</v>
      </c>
      <c r="AJ15">
        <v>1</v>
      </c>
      <c r="AK15" s="26">
        <v>0</v>
      </c>
      <c r="AL15" s="26">
        <v>0</v>
      </c>
      <c r="AM15" s="26">
        <v>0</v>
      </c>
      <c r="AN15" s="26">
        <v>0</v>
      </c>
      <c r="AO15" s="26">
        <v>1</v>
      </c>
      <c r="AP15" s="26">
        <v>0</v>
      </c>
      <c r="AQ15">
        <v>1</v>
      </c>
      <c r="AR15">
        <v>1</v>
      </c>
      <c r="AS15">
        <v>0</v>
      </c>
      <c r="AV15">
        <v>1</v>
      </c>
      <c r="AW15">
        <v>1</v>
      </c>
      <c r="AX15">
        <v>0</v>
      </c>
      <c r="BA15">
        <v>0</v>
      </c>
      <c r="BB15">
        <v>1</v>
      </c>
      <c r="BC15">
        <v>0</v>
      </c>
      <c r="BF15">
        <v>0</v>
      </c>
      <c r="BG15">
        <v>1</v>
      </c>
      <c r="BH15">
        <v>1</v>
      </c>
      <c r="BI15">
        <v>0</v>
      </c>
    </row>
    <row r="16" spans="1:62">
      <c r="A16">
        <f t="shared" si="1"/>
        <v>13</v>
      </c>
      <c r="B16" s="17" t="s">
        <v>55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1</v>
      </c>
      <c r="J16">
        <f t="shared" si="0"/>
        <v>2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1</v>
      </c>
      <c r="T16">
        <v>0</v>
      </c>
      <c r="U16">
        <v>1</v>
      </c>
      <c r="V16">
        <v>0</v>
      </c>
      <c r="W16">
        <v>0</v>
      </c>
      <c r="X16">
        <v>1</v>
      </c>
      <c r="Y16">
        <v>1</v>
      </c>
      <c r="Z16">
        <v>1</v>
      </c>
      <c r="AA16" s="26">
        <v>0</v>
      </c>
      <c r="AB16" s="26">
        <v>0</v>
      </c>
      <c r="AC16" s="26">
        <v>0</v>
      </c>
      <c r="AD16">
        <v>1</v>
      </c>
      <c r="AE16">
        <v>1</v>
      </c>
      <c r="AF16" s="26">
        <v>0</v>
      </c>
      <c r="AG16" s="26">
        <v>1</v>
      </c>
      <c r="AH16" s="26">
        <v>0</v>
      </c>
      <c r="AI16">
        <v>1</v>
      </c>
      <c r="AJ16">
        <v>1</v>
      </c>
      <c r="AK16" s="26">
        <v>0</v>
      </c>
      <c r="AL16" s="26">
        <v>0</v>
      </c>
      <c r="AM16" s="26">
        <v>0</v>
      </c>
      <c r="AN16" s="26">
        <v>0</v>
      </c>
      <c r="AO16" s="26">
        <v>1</v>
      </c>
      <c r="AP16" s="26">
        <v>0</v>
      </c>
      <c r="AQ16">
        <v>1</v>
      </c>
      <c r="AR16">
        <v>1</v>
      </c>
      <c r="AS16">
        <v>0</v>
      </c>
      <c r="AV16">
        <v>1</v>
      </c>
      <c r="AW16">
        <v>1</v>
      </c>
      <c r="AX16">
        <v>0</v>
      </c>
      <c r="BA16">
        <v>1</v>
      </c>
      <c r="BB16">
        <v>1</v>
      </c>
      <c r="BC16">
        <v>0</v>
      </c>
      <c r="BF16">
        <v>0</v>
      </c>
      <c r="BG16">
        <v>1</v>
      </c>
      <c r="BH16">
        <v>1</v>
      </c>
      <c r="BI16">
        <v>0</v>
      </c>
    </row>
    <row r="17" spans="1:61">
      <c r="A17">
        <f t="shared" si="1"/>
        <v>14</v>
      </c>
      <c r="B17" s="17" t="s">
        <v>7</v>
      </c>
      <c r="C17">
        <v>1</v>
      </c>
      <c r="D17">
        <v>1</v>
      </c>
      <c r="E17">
        <v>0</v>
      </c>
      <c r="F17">
        <v>1</v>
      </c>
      <c r="G17">
        <v>1</v>
      </c>
      <c r="H17">
        <v>2</v>
      </c>
      <c r="I17">
        <v>1</v>
      </c>
      <c r="J17">
        <f t="shared" si="0"/>
        <v>2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2</v>
      </c>
      <c r="S17">
        <v>2</v>
      </c>
      <c r="T17">
        <v>1</v>
      </c>
      <c r="U17">
        <v>1</v>
      </c>
      <c r="V17">
        <v>0</v>
      </c>
      <c r="W17">
        <v>0</v>
      </c>
      <c r="X17">
        <v>0</v>
      </c>
      <c r="Y17">
        <v>0</v>
      </c>
      <c r="Z17">
        <v>1</v>
      </c>
      <c r="AA17" s="26">
        <v>0</v>
      </c>
      <c r="AB17" s="26">
        <v>0</v>
      </c>
      <c r="AC17" s="26">
        <v>0</v>
      </c>
      <c r="AD17">
        <v>0</v>
      </c>
      <c r="AE17">
        <v>0</v>
      </c>
      <c r="AF17" s="26">
        <v>0</v>
      </c>
      <c r="AG17" s="26">
        <v>0</v>
      </c>
      <c r="AH17" s="26">
        <v>0</v>
      </c>
      <c r="AI17" s="26">
        <v>0</v>
      </c>
      <c r="AJ17">
        <v>1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>
        <v>1</v>
      </c>
      <c r="AR17">
        <v>1</v>
      </c>
      <c r="AS17">
        <v>0</v>
      </c>
      <c r="AV17">
        <v>0</v>
      </c>
      <c r="AW17">
        <v>1</v>
      </c>
      <c r="AX17">
        <v>0</v>
      </c>
      <c r="BA17">
        <v>0</v>
      </c>
      <c r="BB17">
        <v>1</v>
      </c>
      <c r="BC17">
        <v>0</v>
      </c>
      <c r="BF17">
        <v>1</v>
      </c>
      <c r="BG17">
        <v>1</v>
      </c>
      <c r="BH17">
        <v>1</v>
      </c>
      <c r="BI17">
        <v>0</v>
      </c>
    </row>
    <row r="18" spans="1:61">
      <c r="A18">
        <f t="shared" si="1"/>
        <v>15</v>
      </c>
      <c r="B18" s="17" t="s">
        <v>8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  <c r="I18">
        <v>1</v>
      </c>
      <c r="J18">
        <f t="shared" si="0"/>
        <v>2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0</v>
      </c>
      <c r="U18">
        <v>1</v>
      </c>
      <c r="V18">
        <v>0</v>
      </c>
      <c r="W18">
        <v>2</v>
      </c>
      <c r="X18">
        <v>1</v>
      </c>
      <c r="Y18">
        <v>0</v>
      </c>
      <c r="Z18">
        <v>1</v>
      </c>
      <c r="AA18" s="26">
        <v>0</v>
      </c>
      <c r="AB18" s="26">
        <v>1</v>
      </c>
      <c r="AC18" s="26">
        <v>1</v>
      </c>
      <c r="AD18">
        <v>1</v>
      </c>
      <c r="AE18">
        <v>1</v>
      </c>
      <c r="AF18" s="26">
        <v>0</v>
      </c>
      <c r="AG18" s="26">
        <v>0</v>
      </c>
      <c r="AH18">
        <v>1</v>
      </c>
      <c r="AI18">
        <v>1</v>
      </c>
      <c r="AJ18">
        <v>1</v>
      </c>
      <c r="AK18" s="26">
        <v>0</v>
      </c>
      <c r="AL18" s="26">
        <v>0</v>
      </c>
      <c r="AM18" s="26">
        <v>0</v>
      </c>
      <c r="AN18" s="26">
        <v>1</v>
      </c>
      <c r="AO18" s="26">
        <v>1</v>
      </c>
      <c r="AP18" s="26">
        <v>0</v>
      </c>
      <c r="AQ18">
        <v>1</v>
      </c>
      <c r="AR18">
        <v>1</v>
      </c>
      <c r="AS18">
        <v>0</v>
      </c>
      <c r="AV18">
        <v>0</v>
      </c>
      <c r="AW18">
        <v>1</v>
      </c>
      <c r="AX18">
        <v>0</v>
      </c>
      <c r="BA18">
        <v>0</v>
      </c>
      <c r="BB18">
        <v>1</v>
      </c>
      <c r="BC18">
        <v>0</v>
      </c>
      <c r="BF18">
        <v>0</v>
      </c>
      <c r="BG18">
        <v>1</v>
      </c>
      <c r="BH18">
        <v>1</v>
      </c>
      <c r="BI18">
        <v>0</v>
      </c>
    </row>
    <row r="19" spans="1:61">
      <c r="A19">
        <f t="shared" si="1"/>
        <v>16</v>
      </c>
      <c r="B19" s="18" t="s">
        <v>156</v>
      </c>
      <c r="C19">
        <v>1</v>
      </c>
      <c r="D19">
        <v>1</v>
      </c>
      <c r="E19">
        <v>1</v>
      </c>
      <c r="F19">
        <v>0</v>
      </c>
      <c r="G19">
        <v>1</v>
      </c>
      <c r="H19">
        <v>2</v>
      </c>
      <c r="I19">
        <v>1</v>
      </c>
      <c r="J19">
        <f t="shared" si="0"/>
        <v>2</v>
      </c>
      <c r="K19">
        <v>1</v>
      </c>
      <c r="L19">
        <v>0</v>
      </c>
      <c r="M19">
        <v>0</v>
      </c>
      <c r="N19">
        <v>1</v>
      </c>
      <c r="O19">
        <v>1</v>
      </c>
      <c r="P19">
        <v>1</v>
      </c>
      <c r="Q19">
        <v>0</v>
      </c>
      <c r="R19">
        <v>1</v>
      </c>
      <c r="S19">
        <v>2</v>
      </c>
      <c r="T19">
        <v>1</v>
      </c>
      <c r="U19">
        <v>1</v>
      </c>
      <c r="V19">
        <v>0</v>
      </c>
      <c r="W19">
        <v>1</v>
      </c>
      <c r="X19">
        <v>1</v>
      </c>
      <c r="Y19">
        <v>1</v>
      </c>
      <c r="Z19">
        <v>1</v>
      </c>
      <c r="AA19" s="26">
        <v>0</v>
      </c>
      <c r="AB19" s="26">
        <v>0</v>
      </c>
      <c r="AC19" s="26">
        <v>1</v>
      </c>
      <c r="AD19">
        <v>1</v>
      </c>
      <c r="AE19">
        <v>1</v>
      </c>
      <c r="AF19" s="26">
        <v>0</v>
      </c>
      <c r="AG19" s="26">
        <v>0</v>
      </c>
      <c r="AH19">
        <v>1</v>
      </c>
      <c r="AI19">
        <v>1</v>
      </c>
      <c r="AJ19">
        <v>1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0</v>
      </c>
      <c r="AQ19">
        <v>0</v>
      </c>
      <c r="AR19">
        <v>1</v>
      </c>
      <c r="AS19">
        <v>0</v>
      </c>
      <c r="AV19">
        <v>0</v>
      </c>
      <c r="AW19">
        <v>0</v>
      </c>
      <c r="AX19">
        <v>0</v>
      </c>
      <c r="BA19">
        <v>0</v>
      </c>
      <c r="BB19">
        <v>1</v>
      </c>
      <c r="BC19">
        <v>0</v>
      </c>
      <c r="BF19">
        <v>1</v>
      </c>
      <c r="BG19">
        <v>1</v>
      </c>
      <c r="BH19">
        <v>1</v>
      </c>
      <c r="BI19">
        <v>0</v>
      </c>
    </row>
    <row r="20" spans="1:61">
      <c r="A20">
        <f t="shared" si="1"/>
        <v>17</v>
      </c>
      <c r="B20" s="18" t="s">
        <v>54</v>
      </c>
      <c r="C20">
        <v>0</v>
      </c>
      <c r="D20">
        <v>0</v>
      </c>
      <c r="E20">
        <v>0</v>
      </c>
      <c r="F20">
        <v>0</v>
      </c>
      <c r="G20">
        <v>1</v>
      </c>
      <c r="H20">
        <v>2</v>
      </c>
      <c r="I20">
        <v>0</v>
      </c>
      <c r="J20">
        <f t="shared" si="0"/>
        <v>1</v>
      </c>
      <c r="K20">
        <v>0</v>
      </c>
      <c r="L20">
        <v>0</v>
      </c>
      <c r="M20">
        <v>0</v>
      </c>
      <c r="N20">
        <v>0</v>
      </c>
      <c r="O20">
        <v>2</v>
      </c>
      <c r="P20">
        <v>0</v>
      </c>
      <c r="Q20">
        <v>0</v>
      </c>
      <c r="R20">
        <v>3</v>
      </c>
      <c r="S20">
        <v>2</v>
      </c>
      <c r="T20">
        <v>0</v>
      </c>
      <c r="U20">
        <v>1</v>
      </c>
      <c r="V20">
        <v>0</v>
      </c>
      <c r="W20">
        <v>0</v>
      </c>
      <c r="X20">
        <v>1</v>
      </c>
      <c r="Y20">
        <v>1</v>
      </c>
      <c r="Z20">
        <v>1</v>
      </c>
      <c r="AA20" s="26">
        <v>0</v>
      </c>
      <c r="AB20" s="26">
        <v>0</v>
      </c>
      <c r="AC20" s="26">
        <v>1</v>
      </c>
      <c r="AD20">
        <v>1</v>
      </c>
      <c r="AE20">
        <v>1</v>
      </c>
      <c r="AF20" s="26">
        <v>0</v>
      </c>
      <c r="AG20" s="26">
        <v>0</v>
      </c>
      <c r="AH20">
        <v>1</v>
      </c>
      <c r="AI20">
        <v>1</v>
      </c>
      <c r="AJ20">
        <v>1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>
        <v>0</v>
      </c>
      <c r="AR20">
        <v>1</v>
      </c>
      <c r="AS20">
        <v>0</v>
      </c>
      <c r="AV20">
        <v>0</v>
      </c>
      <c r="AW20">
        <v>1</v>
      </c>
      <c r="AX20">
        <v>0</v>
      </c>
      <c r="BA20">
        <v>0</v>
      </c>
      <c r="BB20">
        <v>1</v>
      </c>
      <c r="BC20">
        <v>0</v>
      </c>
      <c r="BF20">
        <v>1</v>
      </c>
      <c r="BG20">
        <v>1</v>
      </c>
      <c r="BH20">
        <v>1</v>
      </c>
      <c r="BI20">
        <v>0</v>
      </c>
    </row>
    <row r="21" spans="1:61">
      <c r="A21">
        <f t="shared" si="1"/>
        <v>18</v>
      </c>
      <c r="B21" s="18" t="s">
        <v>56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f t="shared" si="0"/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3</v>
      </c>
      <c r="S21">
        <v>2</v>
      </c>
      <c r="T21">
        <v>0</v>
      </c>
      <c r="U21">
        <v>1</v>
      </c>
      <c r="V21">
        <v>0</v>
      </c>
      <c r="W21">
        <v>0</v>
      </c>
      <c r="X21">
        <v>0</v>
      </c>
      <c r="Y21">
        <v>1</v>
      </c>
      <c r="Z21">
        <v>1</v>
      </c>
      <c r="AA21" s="26">
        <v>0</v>
      </c>
      <c r="AB21" s="26">
        <v>0</v>
      </c>
      <c r="AC21" s="26">
        <v>0</v>
      </c>
      <c r="AD21">
        <v>1</v>
      </c>
      <c r="AE21">
        <v>1</v>
      </c>
      <c r="AF21" s="26">
        <v>0</v>
      </c>
      <c r="AG21" s="26">
        <v>1</v>
      </c>
      <c r="AH21" s="26">
        <v>1</v>
      </c>
      <c r="AI21" s="26">
        <v>0</v>
      </c>
      <c r="AJ21">
        <v>1</v>
      </c>
      <c r="AK21" s="26">
        <v>0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>
        <v>0</v>
      </c>
      <c r="AR21">
        <v>1</v>
      </c>
      <c r="AS21">
        <v>0</v>
      </c>
      <c r="AV21">
        <v>0</v>
      </c>
      <c r="AW21">
        <v>1</v>
      </c>
      <c r="AX21">
        <v>0</v>
      </c>
      <c r="BA21">
        <v>1</v>
      </c>
      <c r="BB21">
        <v>1</v>
      </c>
      <c r="BC21">
        <v>0</v>
      </c>
      <c r="BF21">
        <v>1</v>
      </c>
      <c r="BG21">
        <v>1</v>
      </c>
      <c r="BH21">
        <v>1</v>
      </c>
      <c r="BI21">
        <v>0</v>
      </c>
    </row>
    <row r="22" spans="1:61">
      <c r="A22">
        <f t="shared" si="1"/>
        <v>19</v>
      </c>
      <c r="B22" s="18" t="s">
        <v>59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1</v>
      </c>
      <c r="J22">
        <f t="shared" si="0"/>
        <v>2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1</v>
      </c>
      <c r="T22">
        <v>0</v>
      </c>
      <c r="U22">
        <v>1</v>
      </c>
      <c r="V22">
        <v>0</v>
      </c>
      <c r="W22">
        <v>0</v>
      </c>
      <c r="X22">
        <v>0</v>
      </c>
      <c r="Y22">
        <v>1</v>
      </c>
      <c r="Z22">
        <v>1</v>
      </c>
      <c r="AA22" s="26">
        <v>0</v>
      </c>
      <c r="AB22" s="26">
        <v>1</v>
      </c>
      <c r="AC22" s="26">
        <v>1</v>
      </c>
      <c r="AD22">
        <v>1</v>
      </c>
      <c r="AE22">
        <v>1</v>
      </c>
      <c r="AF22" s="26">
        <v>0</v>
      </c>
      <c r="AG22" s="26">
        <v>0</v>
      </c>
      <c r="AH22" s="26">
        <v>1</v>
      </c>
      <c r="AI22" s="26">
        <v>1</v>
      </c>
      <c r="AJ22">
        <v>1</v>
      </c>
      <c r="AK22" s="26">
        <v>0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>
        <v>0</v>
      </c>
      <c r="AR22">
        <v>0</v>
      </c>
      <c r="AS22">
        <v>0</v>
      </c>
      <c r="AV22">
        <v>1</v>
      </c>
      <c r="AW22">
        <v>1</v>
      </c>
      <c r="AX22">
        <v>0</v>
      </c>
      <c r="BA22">
        <v>1</v>
      </c>
      <c r="BB22">
        <v>1</v>
      </c>
      <c r="BC22">
        <v>0</v>
      </c>
      <c r="BF22">
        <v>0</v>
      </c>
      <c r="BG22">
        <v>1</v>
      </c>
      <c r="BH22">
        <v>1</v>
      </c>
      <c r="BI22">
        <v>0</v>
      </c>
    </row>
    <row r="23" spans="1:61">
      <c r="A23">
        <f t="shared" si="1"/>
        <v>20</v>
      </c>
      <c r="B23" s="12" t="s">
        <v>60</v>
      </c>
      <c r="C23">
        <v>1</v>
      </c>
      <c r="D23">
        <v>0</v>
      </c>
      <c r="E23">
        <v>0</v>
      </c>
      <c r="F23">
        <v>0</v>
      </c>
      <c r="G23">
        <v>1</v>
      </c>
      <c r="H23">
        <v>2</v>
      </c>
      <c r="I23">
        <v>1</v>
      </c>
      <c r="J23">
        <f t="shared" si="0"/>
        <v>2</v>
      </c>
      <c r="K23">
        <v>0</v>
      </c>
      <c r="L23">
        <v>0</v>
      </c>
      <c r="M23">
        <v>2</v>
      </c>
      <c r="N23">
        <v>0</v>
      </c>
      <c r="O23">
        <v>0</v>
      </c>
      <c r="P23">
        <v>0</v>
      </c>
      <c r="Q23">
        <v>0</v>
      </c>
      <c r="R23">
        <v>1</v>
      </c>
      <c r="S23">
        <v>1</v>
      </c>
      <c r="T23">
        <v>0</v>
      </c>
      <c r="U23">
        <v>0</v>
      </c>
      <c r="V23">
        <v>0</v>
      </c>
      <c r="W23">
        <v>1</v>
      </c>
      <c r="X23">
        <v>2</v>
      </c>
      <c r="Y23">
        <v>1</v>
      </c>
      <c r="Z23">
        <v>1</v>
      </c>
      <c r="AA23" s="26">
        <v>0</v>
      </c>
      <c r="AB23" s="26">
        <v>1</v>
      </c>
      <c r="AC23" s="26">
        <v>2</v>
      </c>
      <c r="AD23">
        <v>1</v>
      </c>
      <c r="AE23">
        <v>1</v>
      </c>
      <c r="AF23" s="26">
        <v>0</v>
      </c>
      <c r="AG23" s="26">
        <v>0</v>
      </c>
      <c r="AH23" s="26">
        <v>0</v>
      </c>
      <c r="AI23" s="26">
        <v>0</v>
      </c>
      <c r="AJ23">
        <v>1</v>
      </c>
      <c r="AK23" s="26">
        <v>0</v>
      </c>
      <c r="AL23" s="26">
        <v>0</v>
      </c>
      <c r="AM23">
        <v>1</v>
      </c>
      <c r="AN23" s="26">
        <v>0</v>
      </c>
      <c r="AO23" s="26">
        <v>0</v>
      </c>
      <c r="AP23" s="26">
        <v>0</v>
      </c>
      <c r="AQ23">
        <v>0</v>
      </c>
      <c r="AR23">
        <v>1</v>
      </c>
      <c r="AS23">
        <v>0</v>
      </c>
      <c r="AV23">
        <v>0</v>
      </c>
      <c r="AW23">
        <v>1</v>
      </c>
      <c r="AX23">
        <v>0</v>
      </c>
      <c r="BA23">
        <v>0</v>
      </c>
      <c r="BB23">
        <v>1</v>
      </c>
      <c r="BC23">
        <v>0</v>
      </c>
      <c r="BF23">
        <v>1</v>
      </c>
      <c r="BG23">
        <v>1</v>
      </c>
      <c r="BH23">
        <v>1</v>
      </c>
      <c r="BI23">
        <v>0</v>
      </c>
    </row>
    <row r="24" spans="1:61">
      <c r="A24">
        <f t="shared" si="1"/>
        <v>21</v>
      </c>
      <c r="B24" s="12" t="s">
        <v>158</v>
      </c>
      <c r="C24">
        <v>0</v>
      </c>
      <c r="D24">
        <v>1</v>
      </c>
      <c r="E24">
        <v>0</v>
      </c>
      <c r="F24">
        <v>1</v>
      </c>
      <c r="G24">
        <v>1</v>
      </c>
      <c r="H24">
        <v>2</v>
      </c>
      <c r="I24">
        <v>0</v>
      </c>
      <c r="J24">
        <f t="shared" si="0"/>
        <v>1</v>
      </c>
      <c r="K24">
        <v>0</v>
      </c>
      <c r="L24">
        <v>0</v>
      </c>
      <c r="M24">
        <v>1</v>
      </c>
      <c r="N24">
        <v>2</v>
      </c>
      <c r="O24">
        <v>2</v>
      </c>
      <c r="P24">
        <v>0</v>
      </c>
      <c r="Q24">
        <v>0</v>
      </c>
      <c r="R24">
        <v>2</v>
      </c>
      <c r="S24">
        <v>1</v>
      </c>
      <c r="T24">
        <v>0</v>
      </c>
      <c r="U24">
        <v>1</v>
      </c>
      <c r="V24">
        <v>0</v>
      </c>
      <c r="W24">
        <v>0</v>
      </c>
      <c r="X24">
        <v>0</v>
      </c>
      <c r="Y24">
        <v>2</v>
      </c>
      <c r="Z24">
        <v>1</v>
      </c>
      <c r="AA24" s="26">
        <v>0</v>
      </c>
      <c r="AB24" s="26">
        <v>0</v>
      </c>
      <c r="AC24" s="26">
        <v>1</v>
      </c>
      <c r="AD24">
        <v>1</v>
      </c>
      <c r="AE24">
        <v>1</v>
      </c>
      <c r="AF24" s="26">
        <v>0</v>
      </c>
      <c r="AG24" s="26">
        <v>0</v>
      </c>
      <c r="AH24" s="26">
        <v>0</v>
      </c>
      <c r="AI24" s="26">
        <v>0</v>
      </c>
      <c r="AJ24">
        <v>1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>
        <v>0</v>
      </c>
      <c r="AR24">
        <v>1</v>
      </c>
      <c r="AS24">
        <v>0</v>
      </c>
      <c r="AV24">
        <v>0</v>
      </c>
      <c r="AW24">
        <v>1</v>
      </c>
      <c r="AX24">
        <v>0</v>
      </c>
      <c r="BA24">
        <v>1</v>
      </c>
      <c r="BB24">
        <v>1</v>
      </c>
      <c r="BC24">
        <v>0</v>
      </c>
      <c r="BF24">
        <v>0</v>
      </c>
      <c r="BG24">
        <v>1</v>
      </c>
      <c r="BH24">
        <v>1</v>
      </c>
      <c r="BI24">
        <v>0</v>
      </c>
    </row>
    <row r="25" spans="1:61">
      <c r="A25">
        <f t="shared" si="1"/>
        <v>22</v>
      </c>
      <c r="B25" s="11" t="s">
        <v>159</v>
      </c>
      <c r="C25">
        <v>0</v>
      </c>
      <c r="D25">
        <v>0</v>
      </c>
      <c r="E25">
        <v>0</v>
      </c>
      <c r="F25">
        <v>0</v>
      </c>
      <c r="G25">
        <v>1</v>
      </c>
      <c r="H25">
        <v>2</v>
      </c>
      <c r="I25">
        <v>0</v>
      </c>
      <c r="J25">
        <f t="shared" si="0"/>
        <v>1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2</v>
      </c>
      <c r="S25">
        <v>1</v>
      </c>
      <c r="T25">
        <v>0</v>
      </c>
      <c r="U25">
        <v>1</v>
      </c>
      <c r="V25">
        <v>0</v>
      </c>
      <c r="W25">
        <v>1</v>
      </c>
      <c r="X25">
        <v>1</v>
      </c>
      <c r="Y25">
        <v>2</v>
      </c>
      <c r="Z25">
        <v>1</v>
      </c>
      <c r="AA25" s="26">
        <v>0</v>
      </c>
      <c r="AB25" s="26">
        <v>0</v>
      </c>
      <c r="AC25" s="26">
        <v>0</v>
      </c>
      <c r="AD25">
        <v>1</v>
      </c>
      <c r="AE25">
        <v>1</v>
      </c>
      <c r="AF25" s="26">
        <v>0</v>
      </c>
      <c r="AG25" s="26">
        <v>0</v>
      </c>
      <c r="AH25" s="26">
        <v>0</v>
      </c>
      <c r="AI25" s="26">
        <v>0</v>
      </c>
      <c r="AJ25">
        <v>1</v>
      </c>
      <c r="AK25" s="26">
        <v>0</v>
      </c>
      <c r="AL25" s="26">
        <v>0</v>
      </c>
      <c r="AM25">
        <v>1</v>
      </c>
      <c r="AN25" s="26">
        <v>0</v>
      </c>
      <c r="AO25" s="26">
        <v>0</v>
      </c>
      <c r="AP25" s="26">
        <v>0</v>
      </c>
      <c r="AQ25">
        <v>0</v>
      </c>
      <c r="AR25">
        <v>1</v>
      </c>
      <c r="AS25">
        <v>0</v>
      </c>
      <c r="AV25">
        <v>0</v>
      </c>
      <c r="AW25">
        <v>1</v>
      </c>
      <c r="AX25">
        <v>0</v>
      </c>
      <c r="BA25">
        <v>0</v>
      </c>
      <c r="BB25">
        <v>1</v>
      </c>
      <c r="BC25">
        <v>0</v>
      </c>
      <c r="BF25">
        <v>0</v>
      </c>
      <c r="BG25">
        <v>1</v>
      </c>
      <c r="BH25">
        <v>1</v>
      </c>
      <c r="BI25">
        <v>0</v>
      </c>
    </row>
    <row r="26" spans="1:61">
      <c r="A26">
        <f t="shared" si="1"/>
        <v>23</v>
      </c>
      <c r="B26" s="11" t="s">
        <v>1</v>
      </c>
      <c r="C26">
        <v>0</v>
      </c>
      <c r="D26">
        <v>1</v>
      </c>
      <c r="E26">
        <v>0</v>
      </c>
      <c r="F26">
        <v>1</v>
      </c>
      <c r="G26">
        <v>1</v>
      </c>
      <c r="H26">
        <v>2</v>
      </c>
      <c r="I26">
        <v>0</v>
      </c>
      <c r="J26">
        <f t="shared" si="0"/>
        <v>1</v>
      </c>
      <c r="K26">
        <v>1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2</v>
      </c>
      <c r="T26">
        <v>1</v>
      </c>
      <c r="U26">
        <v>1</v>
      </c>
      <c r="V26">
        <v>0</v>
      </c>
      <c r="W26">
        <v>0</v>
      </c>
      <c r="X26">
        <v>0</v>
      </c>
      <c r="Y26">
        <v>1</v>
      </c>
      <c r="Z26">
        <v>1</v>
      </c>
      <c r="AA26" s="26">
        <v>0</v>
      </c>
      <c r="AB26" s="26">
        <v>0</v>
      </c>
      <c r="AC26" s="26">
        <v>1</v>
      </c>
      <c r="AD26">
        <v>0</v>
      </c>
      <c r="AE26">
        <v>1</v>
      </c>
      <c r="AF26" s="26">
        <v>0</v>
      </c>
      <c r="AG26" s="26">
        <v>0</v>
      </c>
      <c r="AH26" s="26">
        <v>0</v>
      </c>
      <c r="AI26" s="26">
        <v>0</v>
      </c>
      <c r="AJ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>
        <v>0</v>
      </c>
      <c r="AR26">
        <v>1</v>
      </c>
      <c r="AS26">
        <v>0</v>
      </c>
      <c r="AV26">
        <v>0</v>
      </c>
      <c r="AW26">
        <v>0</v>
      </c>
      <c r="AX26">
        <v>0</v>
      </c>
      <c r="BA26">
        <v>0</v>
      </c>
      <c r="BB26">
        <v>1</v>
      </c>
      <c r="BC26">
        <v>0</v>
      </c>
      <c r="BF26">
        <v>1</v>
      </c>
      <c r="BG26">
        <v>1</v>
      </c>
      <c r="BH26">
        <v>1</v>
      </c>
      <c r="BI26">
        <v>0</v>
      </c>
    </row>
    <row r="27" spans="1:61">
      <c r="A27">
        <f t="shared" si="1"/>
        <v>24</v>
      </c>
      <c r="B27" s="11" t="s">
        <v>61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f t="shared" si="0"/>
        <v>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</v>
      </c>
      <c r="T27">
        <v>0</v>
      </c>
      <c r="U27">
        <v>1</v>
      </c>
      <c r="V27">
        <v>0</v>
      </c>
      <c r="W27">
        <v>1</v>
      </c>
      <c r="X27">
        <v>0</v>
      </c>
      <c r="Y27">
        <v>1</v>
      </c>
      <c r="Z27">
        <v>1</v>
      </c>
      <c r="AA27" s="26">
        <v>0</v>
      </c>
      <c r="AB27" s="26">
        <v>0</v>
      </c>
      <c r="AC27" s="26">
        <v>1</v>
      </c>
      <c r="AD27">
        <v>0</v>
      </c>
      <c r="AE27">
        <v>1</v>
      </c>
      <c r="AF27" s="26">
        <v>0</v>
      </c>
      <c r="AG27" s="26">
        <v>0</v>
      </c>
      <c r="AH27" s="26">
        <v>0</v>
      </c>
      <c r="AI27" s="26">
        <v>0</v>
      </c>
      <c r="AJ27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>
        <v>0</v>
      </c>
      <c r="AR27">
        <v>1</v>
      </c>
      <c r="AS27">
        <v>0</v>
      </c>
      <c r="AV27">
        <v>0</v>
      </c>
      <c r="AW27">
        <v>1</v>
      </c>
      <c r="AX27">
        <v>0</v>
      </c>
      <c r="BA27">
        <v>0</v>
      </c>
      <c r="BB27">
        <v>1</v>
      </c>
      <c r="BC27">
        <v>0</v>
      </c>
      <c r="BF27">
        <v>0</v>
      </c>
      <c r="BG27">
        <v>0</v>
      </c>
      <c r="BH27">
        <v>1</v>
      </c>
      <c r="BI27">
        <v>0</v>
      </c>
    </row>
    <row r="28" spans="1:61">
      <c r="A28">
        <f t="shared" si="1"/>
        <v>25</v>
      </c>
      <c r="B28" s="11" t="s">
        <v>0</v>
      </c>
      <c r="C28">
        <v>0</v>
      </c>
      <c r="D28">
        <v>0</v>
      </c>
      <c r="E28">
        <v>0</v>
      </c>
      <c r="F28">
        <v>1</v>
      </c>
      <c r="G28">
        <v>1</v>
      </c>
      <c r="H28">
        <v>0</v>
      </c>
      <c r="I28">
        <v>0</v>
      </c>
      <c r="J28">
        <f t="shared" si="0"/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1</v>
      </c>
      <c r="T28">
        <v>0</v>
      </c>
      <c r="U28">
        <v>1</v>
      </c>
      <c r="V28">
        <v>0</v>
      </c>
      <c r="W28">
        <v>1</v>
      </c>
      <c r="X28">
        <v>1</v>
      </c>
      <c r="Y28">
        <v>1</v>
      </c>
      <c r="Z28">
        <v>1</v>
      </c>
      <c r="AA28" s="26">
        <v>0</v>
      </c>
      <c r="AB28" s="26">
        <v>0</v>
      </c>
      <c r="AC28" s="26">
        <v>0</v>
      </c>
      <c r="AD28">
        <v>1</v>
      </c>
      <c r="AE28">
        <v>1</v>
      </c>
      <c r="AF28" s="26">
        <v>0</v>
      </c>
      <c r="AG28" s="26">
        <v>0</v>
      </c>
      <c r="AH28" s="26">
        <v>0</v>
      </c>
      <c r="AI28" s="26">
        <v>0</v>
      </c>
      <c r="AJ28">
        <v>1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>
        <v>0</v>
      </c>
      <c r="AR28">
        <v>1</v>
      </c>
      <c r="AS28">
        <v>0</v>
      </c>
      <c r="AV28">
        <v>0</v>
      </c>
      <c r="AW28">
        <v>1</v>
      </c>
      <c r="AX28">
        <v>0</v>
      </c>
      <c r="BA28">
        <v>0</v>
      </c>
      <c r="BB28">
        <v>1</v>
      </c>
      <c r="BC28">
        <v>0</v>
      </c>
      <c r="BF28">
        <v>0</v>
      </c>
      <c r="BG28">
        <v>0</v>
      </c>
      <c r="BH28">
        <v>1</v>
      </c>
      <c r="BI28">
        <v>0</v>
      </c>
    </row>
    <row r="29" spans="1:61">
      <c r="A29">
        <f t="shared" si="1"/>
        <v>26</v>
      </c>
      <c r="B29" s="13" t="s">
        <v>2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  <c r="I29">
        <v>0</v>
      </c>
      <c r="J29">
        <f t="shared" si="0"/>
        <v>1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1</v>
      </c>
      <c r="V29">
        <v>0</v>
      </c>
      <c r="W29">
        <v>0</v>
      </c>
      <c r="X29">
        <v>1</v>
      </c>
      <c r="Y29">
        <v>1</v>
      </c>
      <c r="Z29">
        <v>1</v>
      </c>
      <c r="AA29" s="26">
        <v>0</v>
      </c>
      <c r="AB29" s="26">
        <v>0</v>
      </c>
      <c r="AC29" s="26">
        <v>0</v>
      </c>
      <c r="AD29">
        <v>1</v>
      </c>
      <c r="AE29">
        <v>1</v>
      </c>
      <c r="AF29" s="26">
        <v>0</v>
      </c>
      <c r="AG29" s="26">
        <v>0</v>
      </c>
      <c r="AH29" s="26">
        <v>0</v>
      </c>
      <c r="AI29" s="26">
        <v>0</v>
      </c>
      <c r="AJ29">
        <v>1</v>
      </c>
      <c r="AK29" s="26">
        <v>0</v>
      </c>
      <c r="AL29" s="26">
        <v>1</v>
      </c>
      <c r="AM29" s="26">
        <v>0</v>
      </c>
      <c r="AN29" s="26">
        <v>1</v>
      </c>
      <c r="AO29" s="26">
        <v>1</v>
      </c>
      <c r="AP29" s="26">
        <v>0</v>
      </c>
      <c r="AQ29">
        <v>0</v>
      </c>
      <c r="AR29">
        <v>1</v>
      </c>
      <c r="AS29">
        <v>0</v>
      </c>
      <c r="AV29">
        <v>0</v>
      </c>
      <c r="AW29">
        <v>1</v>
      </c>
      <c r="AX29">
        <v>0</v>
      </c>
      <c r="BA29">
        <v>1</v>
      </c>
      <c r="BB29">
        <v>1</v>
      </c>
      <c r="BC29">
        <v>0</v>
      </c>
      <c r="BF29">
        <v>0</v>
      </c>
      <c r="BG29">
        <v>1</v>
      </c>
      <c r="BH29">
        <v>1</v>
      </c>
      <c r="BI29">
        <v>0</v>
      </c>
    </row>
    <row r="30" spans="1:61">
      <c r="A30">
        <f t="shared" si="1"/>
        <v>27</v>
      </c>
      <c r="B30" s="14" t="s">
        <v>155</v>
      </c>
      <c r="C30">
        <v>0</v>
      </c>
      <c r="D30">
        <v>1</v>
      </c>
      <c r="E30">
        <v>0</v>
      </c>
      <c r="F30">
        <v>1</v>
      </c>
      <c r="G30">
        <v>1</v>
      </c>
      <c r="H30">
        <v>1</v>
      </c>
      <c r="I30">
        <v>1</v>
      </c>
      <c r="J30">
        <f t="shared" si="0"/>
        <v>2</v>
      </c>
      <c r="K30">
        <v>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U30">
        <v>1</v>
      </c>
      <c r="V30">
        <v>0</v>
      </c>
      <c r="W30">
        <v>0</v>
      </c>
      <c r="X30">
        <v>0</v>
      </c>
      <c r="Y30">
        <v>1</v>
      </c>
      <c r="Z30">
        <v>1</v>
      </c>
      <c r="AA30" s="26">
        <v>0</v>
      </c>
      <c r="AB30" s="26">
        <v>1</v>
      </c>
      <c r="AC30" s="26">
        <v>1</v>
      </c>
      <c r="AD30">
        <v>1</v>
      </c>
      <c r="AE30">
        <v>1</v>
      </c>
      <c r="AF30" s="26">
        <v>0</v>
      </c>
      <c r="AG30" s="26">
        <v>0</v>
      </c>
      <c r="AH30" s="26">
        <v>0</v>
      </c>
      <c r="AI30" s="26">
        <v>0</v>
      </c>
      <c r="AJ30">
        <v>1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>
        <v>1</v>
      </c>
      <c r="AR30">
        <v>1</v>
      </c>
      <c r="AS30">
        <v>0</v>
      </c>
      <c r="AV30">
        <v>0</v>
      </c>
      <c r="AW30">
        <v>1</v>
      </c>
      <c r="AX30">
        <v>0</v>
      </c>
      <c r="BA30">
        <v>0</v>
      </c>
      <c r="BB30">
        <v>1</v>
      </c>
      <c r="BC30">
        <v>0</v>
      </c>
      <c r="BF30">
        <v>1</v>
      </c>
      <c r="BG30">
        <v>1</v>
      </c>
      <c r="BH30">
        <v>1</v>
      </c>
      <c r="BI30">
        <v>0</v>
      </c>
    </row>
    <row r="31" spans="1:61">
      <c r="A31">
        <f t="shared" si="1"/>
        <v>28</v>
      </c>
      <c r="B31" s="14" t="s">
        <v>62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f t="shared" si="0"/>
        <v>1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1</v>
      </c>
      <c r="T31">
        <v>0</v>
      </c>
      <c r="U31">
        <v>1</v>
      </c>
      <c r="V31">
        <v>0</v>
      </c>
      <c r="W31">
        <v>0</v>
      </c>
      <c r="X31">
        <v>0</v>
      </c>
      <c r="Y31">
        <v>1</v>
      </c>
      <c r="Z31">
        <v>1</v>
      </c>
      <c r="AA31" s="26">
        <v>0</v>
      </c>
      <c r="AB31" s="26">
        <v>0</v>
      </c>
      <c r="AC31" s="26">
        <v>1</v>
      </c>
      <c r="AD31">
        <v>1</v>
      </c>
      <c r="AE31">
        <v>1</v>
      </c>
      <c r="AF31" s="26">
        <v>0</v>
      </c>
      <c r="AG31" s="26">
        <v>0</v>
      </c>
      <c r="AH31" s="26">
        <v>0</v>
      </c>
      <c r="AI31" s="26">
        <v>0</v>
      </c>
      <c r="AJ31">
        <v>1</v>
      </c>
      <c r="AK31" s="26">
        <v>0</v>
      </c>
      <c r="AL31">
        <v>1</v>
      </c>
      <c r="AM31" s="26">
        <v>0</v>
      </c>
      <c r="AN31" s="26">
        <v>1</v>
      </c>
      <c r="AO31" s="26">
        <v>1</v>
      </c>
      <c r="AP31" s="26">
        <v>0</v>
      </c>
      <c r="AQ31">
        <v>0</v>
      </c>
      <c r="AR31">
        <v>1</v>
      </c>
      <c r="AS31">
        <v>0</v>
      </c>
      <c r="AV31">
        <v>0</v>
      </c>
      <c r="AW31">
        <v>0</v>
      </c>
      <c r="AX31">
        <v>0</v>
      </c>
      <c r="BA31">
        <v>0</v>
      </c>
      <c r="BB31">
        <v>1</v>
      </c>
      <c r="BC31">
        <v>0</v>
      </c>
      <c r="BF31">
        <v>1</v>
      </c>
      <c r="BG31">
        <v>1</v>
      </c>
      <c r="BH31">
        <v>1</v>
      </c>
      <c r="BI31">
        <v>0</v>
      </c>
    </row>
    <row r="32" spans="1:61">
      <c r="A32">
        <f t="shared" si="1"/>
        <v>29</v>
      </c>
      <c r="B32" s="14" t="s">
        <v>63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f t="shared" si="0"/>
        <v>1</v>
      </c>
      <c r="K32">
        <v>0</v>
      </c>
      <c r="L32">
        <v>0</v>
      </c>
      <c r="M32">
        <v>0</v>
      </c>
      <c r="N32">
        <v>2</v>
      </c>
      <c r="O32">
        <v>0</v>
      </c>
      <c r="P32">
        <v>0</v>
      </c>
      <c r="Q32">
        <v>0</v>
      </c>
      <c r="R32">
        <v>0</v>
      </c>
      <c r="S32">
        <v>1</v>
      </c>
      <c r="T32">
        <v>0</v>
      </c>
      <c r="U32">
        <v>1</v>
      </c>
      <c r="V32">
        <v>0</v>
      </c>
      <c r="W32">
        <v>0</v>
      </c>
      <c r="X32">
        <v>0</v>
      </c>
      <c r="Y32">
        <v>1</v>
      </c>
      <c r="Z32">
        <v>1</v>
      </c>
      <c r="AA32" s="26">
        <v>0</v>
      </c>
      <c r="AB32" s="26">
        <v>2</v>
      </c>
      <c r="AC32" s="26">
        <v>2</v>
      </c>
      <c r="AD32">
        <v>1</v>
      </c>
      <c r="AE32">
        <v>1</v>
      </c>
      <c r="AF32" s="26">
        <v>0</v>
      </c>
      <c r="AG32" s="26">
        <v>0</v>
      </c>
      <c r="AH32" s="26">
        <v>0</v>
      </c>
      <c r="AI32" s="26">
        <v>0</v>
      </c>
      <c r="AJ32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1</v>
      </c>
      <c r="AP32" s="26">
        <v>0</v>
      </c>
      <c r="AQ32">
        <v>0</v>
      </c>
      <c r="AR32">
        <v>1</v>
      </c>
      <c r="AS32">
        <v>0</v>
      </c>
      <c r="AV32">
        <v>0</v>
      </c>
      <c r="AW32">
        <v>0</v>
      </c>
      <c r="AX32">
        <v>0</v>
      </c>
      <c r="BA32">
        <v>0</v>
      </c>
      <c r="BB32">
        <v>1</v>
      </c>
      <c r="BC32">
        <v>0</v>
      </c>
      <c r="BF32">
        <v>1</v>
      </c>
      <c r="BG32">
        <v>1</v>
      </c>
      <c r="BH32">
        <v>1</v>
      </c>
      <c r="BI32">
        <v>0</v>
      </c>
    </row>
    <row r="33" spans="1:61">
      <c r="A33">
        <f t="shared" si="1"/>
        <v>30</v>
      </c>
      <c r="B33" s="14" t="s">
        <v>157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  <c r="I33">
        <v>0</v>
      </c>
      <c r="J33">
        <f t="shared" si="0"/>
        <v>1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1</v>
      </c>
      <c r="S33">
        <v>1</v>
      </c>
      <c r="T33">
        <v>0</v>
      </c>
      <c r="U33">
        <v>1</v>
      </c>
      <c r="V33">
        <v>0</v>
      </c>
      <c r="W33">
        <v>0</v>
      </c>
      <c r="X33">
        <v>1</v>
      </c>
      <c r="Y33">
        <v>1</v>
      </c>
      <c r="Z33">
        <v>1</v>
      </c>
      <c r="AA33" s="26">
        <v>0</v>
      </c>
      <c r="AB33" s="26">
        <v>2</v>
      </c>
      <c r="AC33" s="26">
        <v>2</v>
      </c>
      <c r="AD33">
        <v>1</v>
      </c>
      <c r="AE33">
        <v>1</v>
      </c>
      <c r="AF33" s="26">
        <v>0</v>
      </c>
      <c r="AG33" s="26">
        <v>0</v>
      </c>
      <c r="AH33" s="26">
        <v>0</v>
      </c>
      <c r="AI33" s="26">
        <v>0</v>
      </c>
      <c r="AJ33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1</v>
      </c>
      <c r="AP33" s="26">
        <v>0</v>
      </c>
      <c r="AQ33">
        <v>0</v>
      </c>
      <c r="AR33">
        <v>1</v>
      </c>
      <c r="AS33">
        <v>0</v>
      </c>
      <c r="AV33">
        <v>0</v>
      </c>
      <c r="AW33">
        <v>0</v>
      </c>
      <c r="AX33">
        <v>0</v>
      </c>
      <c r="BA33">
        <v>0</v>
      </c>
      <c r="BB33">
        <v>1</v>
      </c>
      <c r="BC33">
        <v>0</v>
      </c>
      <c r="BF33">
        <v>0</v>
      </c>
      <c r="BG33">
        <v>0</v>
      </c>
      <c r="BH33">
        <v>1</v>
      </c>
      <c r="BI33">
        <v>0</v>
      </c>
    </row>
    <row r="34" spans="1:61">
      <c r="A34">
        <f t="shared" si="1"/>
        <v>31</v>
      </c>
      <c r="B34" s="14" t="s">
        <v>64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  <c r="I34">
        <v>0</v>
      </c>
      <c r="J34">
        <f t="shared" si="0"/>
        <v>1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0</v>
      </c>
      <c r="R34">
        <v>0</v>
      </c>
      <c r="S34">
        <v>1</v>
      </c>
      <c r="T34">
        <v>0</v>
      </c>
      <c r="U34">
        <v>1</v>
      </c>
      <c r="V34">
        <v>0</v>
      </c>
      <c r="W34">
        <v>0</v>
      </c>
      <c r="X34">
        <v>0</v>
      </c>
      <c r="Y34">
        <v>1</v>
      </c>
      <c r="Z34">
        <v>1</v>
      </c>
      <c r="AA34" s="26">
        <v>0</v>
      </c>
      <c r="AB34" s="26">
        <v>0</v>
      </c>
      <c r="AC34" s="26">
        <v>0</v>
      </c>
      <c r="AD34">
        <v>1</v>
      </c>
      <c r="AE34">
        <v>0</v>
      </c>
      <c r="AF34" s="26">
        <v>0</v>
      </c>
      <c r="AG34" s="26">
        <v>0</v>
      </c>
      <c r="AH34" s="26">
        <v>0</v>
      </c>
      <c r="AI34">
        <v>1</v>
      </c>
      <c r="AJ34">
        <v>1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>
        <v>0</v>
      </c>
      <c r="AQ34">
        <v>1</v>
      </c>
      <c r="AR34">
        <v>1</v>
      </c>
      <c r="AS34">
        <v>0</v>
      </c>
      <c r="AV34">
        <v>0</v>
      </c>
      <c r="AW34">
        <v>0</v>
      </c>
      <c r="AX34">
        <v>0</v>
      </c>
      <c r="BA34">
        <v>0</v>
      </c>
      <c r="BB34">
        <v>1</v>
      </c>
      <c r="BC34">
        <v>0</v>
      </c>
      <c r="BF34">
        <v>0</v>
      </c>
      <c r="BG34">
        <v>0</v>
      </c>
      <c r="BH34">
        <v>1</v>
      </c>
      <c r="BI34">
        <v>0</v>
      </c>
    </row>
    <row r="35" spans="1:61">
      <c r="A35">
        <f t="shared" si="1"/>
        <v>32</v>
      </c>
      <c r="B35" s="15" t="s">
        <v>65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  <c r="I35">
        <v>0</v>
      </c>
      <c r="J35">
        <f t="shared" si="0"/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1</v>
      </c>
      <c r="S35">
        <v>1</v>
      </c>
      <c r="T35">
        <v>0</v>
      </c>
      <c r="U35">
        <v>1</v>
      </c>
      <c r="V35">
        <v>0</v>
      </c>
      <c r="W35">
        <v>0</v>
      </c>
      <c r="X35">
        <v>0</v>
      </c>
      <c r="Y35">
        <v>1</v>
      </c>
      <c r="Z35">
        <v>1</v>
      </c>
      <c r="AA35" s="26">
        <v>0</v>
      </c>
      <c r="AB35" s="26">
        <v>0</v>
      </c>
      <c r="AC35" s="26">
        <v>0</v>
      </c>
      <c r="AD35">
        <v>1</v>
      </c>
      <c r="AE35">
        <v>1</v>
      </c>
      <c r="AF35" s="26">
        <v>0</v>
      </c>
      <c r="AG35" s="26">
        <v>0</v>
      </c>
      <c r="AH35">
        <v>1</v>
      </c>
      <c r="AI35">
        <v>1</v>
      </c>
      <c r="AJ35">
        <v>1</v>
      </c>
      <c r="AK35" s="26">
        <v>0</v>
      </c>
      <c r="AL35" s="26">
        <v>0</v>
      </c>
      <c r="AM35" s="26">
        <v>0</v>
      </c>
      <c r="AN35" s="26">
        <v>0</v>
      </c>
      <c r="AO35" s="26">
        <v>0</v>
      </c>
      <c r="AP35" s="26">
        <v>0</v>
      </c>
      <c r="AQ35">
        <v>0</v>
      </c>
      <c r="AR35">
        <v>1</v>
      </c>
      <c r="AS35">
        <v>0</v>
      </c>
      <c r="AV35">
        <v>0</v>
      </c>
      <c r="AW35">
        <v>1</v>
      </c>
      <c r="AX35">
        <v>0</v>
      </c>
      <c r="BA35">
        <v>0</v>
      </c>
      <c r="BB35">
        <v>1</v>
      </c>
      <c r="BC35">
        <v>0</v>
      </c>
      <c r="BF35">
        <v>1</v>
      </c>
      <c r="BG35">
        <v>1</v>
      </c>
      <c r="BH35">
        <v>1</v>
      </c>
      <c r="BI35">
        <v>0</v>
      </c>
    </row>
    <row r="36" spans="1:61">
      <c r="A36">
        <f t="shared" si="1"/>
        <v>33</v>
      </c>
      <c r="B36" s="15" t="s">
        <v>153</v>
      </c>
      <c r="C36">
        <v>1</v>
      </c>
      <c r="D36">
        <v>0</v>
      </c>
      <c r="E36">
        <v>0</v>
      </c>
      <c r="F36">
        <v>0</v>
      </c>
      <c r="G36">
        <v>1</v>
      </c>
      <c r="H36">
        <v>0</v>
      </c>
      <c r="I36">
        <v>1</v>
      </c>
      <c r="J36">
        <f t="shared" si="0"/>
        <v>2</v>
      </c>
      <c r="K36">
        <v>0</v>
      </c>
      <c r="L36">
        <v>0</v>
      </c>
      <c r="M36">
        <v>0</v>
      </c>
      <c r="N36">
        <v>1</v>
      </c>
      <c r="O36">
        <v>1</v>
      </c>
      <c r="P36">
        <v>0</v>
      </c>
      <c r="Q36">
        <v>0</v>
      </c>
      <c r="R36">
        <v>1</v>
      </c>
      <c r="S36">
        <v>1</v>
      </c>
      <c r="T36">
        <v>0</v>
      </c>
      <c r="U36">
        <v>1</v>
      </c>
      <c r="V36">
        <v>0</v>
      </c>
      <c r="W36">
        <v>1</v>
      </c>
      <c r="X36">
        <v>1</v>
      </c>
      <c r="Y36">
        <v>1</v>
      </c>
      <c r="Z36">
        <v>1</v>
      </c>
      <c r="AA36" s="26">
        <v>0</v>
      </c>
      <c r="AB36" s="26">
        <v>0</v>
      </c>
      <c r="AC36" s="26">
        <v>0</v>
      </c>
      <c r="AD36">
        <v>1</v>
      </c>
      <c r="AE36">
        <v>1</v>
      </c>
      <c r="AF36" s="26">
        <v>0</v>
      </c>
      <c r="AG36" s="26">
        <v>0</v>
      </c>
      <c r="AH36">
        <v>1</v>
      </c>
      <c r="AI36">
        <v>1</v>
      </c>
      <c r="AJ36">
        <v>1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>
        <v>0</v>
      </c>
      <c r="AQ36">
        <v>0</v>
      </c>
      <c r="AR36">
        <v>1</v>
      </c>
      <c r="AS36">
        <v>0</v>
      </c>
      <c r="AV36">
        <v>0</v>
      </c>
      <c r="AW36">
        <v>1</v>
      </c>
      <c r="AX36">
        <v>0</v>
      </c>
      <c r="BA36">
        <v>1</v>
      </c>
      <c r="BB36">
        <v>1</v>
      </c>
      <c r="BC36">
        <v>0</v>
      </c>
      <c r="BF36">
        <v>1</v>
      </c>
      <c r="BG36">
        <v>1</v>
      </c>
      <c r="BH36">
        <v>1</v>
      </c>
      <c r="BI36">
        <v>0</v>
      </c>
    </row>
    <row r="37" spans="1:61">
      <c r="A37">
        <f t="shared" si="1"/>
        <v>34</v>
      </c>
      <c r="B37" s="15" t="s">
        <v>66</v>
      </c>
      <c r="C37">
        <v>0</v>
      </c>
      <c r="D37">
        <v>1</v>
      </c>
      <c r="E37">
        <v>0</v>
      </c>
      <c r="F37">
        <v>1</v>
      </c>
      <c r="G37">
        <v>1</v>
      </c>
      <c r="H37">
        <v>2</v>
      </c>
      <c r="I37">
        <v>1</v>
      </c>
      <c r="J37">
        <f t="shared" si="0"/>
        <v>2</v>
      </c>
      <c r="K37">
        <v>1</v>
      </c>
      <c r="L37">
        <v>0</v>
      </c>
      <c r="M37">
        <v>2</v>
      </c>
      <c r="N37">
        <v>0</v>
      </c>
      <c r="O37">
        <v>2</v>
      </c>
      <c r="P37">
        <v>0</v>
      </c>
      <c r="Q37">
        <v>0</v>
      </c>
      <c r="R37">
        <v>1</v>
      </c>
      <c r="S37">
        <v>1</v>
      </c>
      <c r="T37">
        <v>0</v>
      </c>
      <c r="U37">
        <v>1</v>
      </c>
      <c r="V37">
        <v>0</v>
      </c>
      <c r="W37">
        <v>0</v>
      </c>
      <c r="X37">
        <v>0</v>
      </c>
      <c r="Y37">
        <v>1</v>
      </c>
      <c r="Z37">
        <v>1</v>
      </c>
      <c r="AA37" s="26">
        <v>0</v>
      </c>
      <c r="AB37" s="26">
        <v>0</v>
      </c>
      <c r="AC37" s="26">
        <v>0</v>
      </c>
      <c r="AD37">
        <v>1</v>
      </c>
      <c r="AE37">
        <v>0</v>
      </c>
      <c r="AF37" s="26">
        <v>0</v>
      </c>
      <c r="AG37" s="26">
        <v>0</v>
      </c>
      <c r="AH37">
        <v>1</v>
      </c>
      <c r="AI37">
        <v>1</v>
      </c>
      <c r="AJ37">
        <v>1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>
        <v>0</v>
      </c>
      <c r="AQ37">
        <v>0</v>
      </c>
      <c r="AR37">
        <v>1</v>
      </c>
      <c r="AS37">
        <v>0</v>
      </c>
      <c r="AV37">
        <v>0</v>
      </c>
      <c r="AW37">
        <v>1</v>
      </c>
      <c r="AX37">
        <v>0</v>
      </c>
      <c r="BA37">
        <v>0</v>
      </c>
      <c r="BB37">
        <v>1</v>
      </c>
      <c r="BC37">
        <v>0</v>
      </c>
      <c r="BF37">
        <v>1</v>
      </c>
      <c r="BG37">
        <v>1</v>
      </c>
      <c r="BH37">
        <v>1</v>
      </c>
      <c r="BI37">
        <v>0</v>
      </c>
    </row>
    <row r="38" spans="1:61">
      <c r="A38">
        <f t="shared" si="1"/>
        <v>35</v>
      </c>
      <c r="B38" s="15" t="s">
        <v>152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  <c r="I38">
        <v>0</v>
      </c>
      <c r="J38">
        <f t="shared" si="0"/>
        <v>1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  <c r="S38">
        <v>1</v>
      </c>
      <c r="T38">
        <v>0</v>
      </c>
      <c r="U38">
        <v>1</v>
      </c>
      <c r="V38">
        <v>0</v>
      </c>
      <c r="W38">
        <v>0</v>
      </c>
      <c r="X38">
        <v>0</v>
      </c>
      <c r="Y38">
        <v>1</v>
      </c>
      <c r="Z38">
        <v>1</v>
      </c>
      <c r="AA38" s="26">
        <v>0</v>
      </c>
      <c r="AB38" s="26">
        <v>1</v>
      </c>
      <c r="AC38" s="26">
        <v>2</v>
      </c>
      <c r="AD38">
        <v>1</v>
      </c>
      <c r="AE38">
        <v>0</v>
      </c>
      <c r="AF38" s="26">
        <v>0</v>
      </c>
      <c r="AG38" s="26">
        <v>0</v>
      </c>
      <c r="AH38">
        <v>1</v>
      </c>
      <c r="AI38">
        <v>1</v>
      </c>
      <c r="AJ38">
        <v>1</v>
      </c>
      <c r="AK38" s="26">
        <v>0</v>
      </c>
      <c r="AL38" s="26">
        <v>0</v>
      </c>
      <c r="AM38" s="26">
        <v>0</v>
      </c>
      <c r="AN38" s="26">
        <v>0</v>
      </c>
      <c r="AO38" s="26">
        <v>0</v>
      </c>
      <c r="AP38" s="26">
        <v>0</v>
      </c>
      <c r="AQ38">
        <v>0</v>
      </c>
      <c r="AR38">
        <v>1</v>
      </c>
      <c r="AS38">
        <v>0</v>
      </c>
      <c r="AV38">
        <v>0</v>
      </c>
      <c r="AW38">
        <v>1</v>
      </c>
      <c r="AX38">
        <v>0</v>
      </c>
      <c r="BA38">
        <v>0</v>
      </c>
      <c r="BB38">
        <v>1</v>
      </c>
      <c r="BC38">
        <v>0</v>
      </c>
      <c r="BF38">
        <v>1</v>
      </c>
      <c r="BG38">
        <v>1</v>
      </c>
      <c r="BH38">
        <v>1</v>
      </c>
      <c r="BI38">
        <v>0</v>
      </c>
    </row>
    <row r="39" spans="1:61">
      <c r="A39">
        <f t="shared" si="1"/>
        <v>36</v>
      </c>
      <c r="B39" s="16" t="s">
        <v>154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  <c r="I39">
        <v>1</v>
      </c>
      <c r="J39">
        <f t="shared" si="0"/>
        <v>2</v>
      </c>
      <c r="K39">
        <v>0</v>
      </c>
      <c r="L39">
        <v>0</v>
      </c>
      <c r="M39">
        <v>0</v>
      </c>
      <c r="N39">
        <v>0</v>
      </c>
      <c r="O39">
        <v>1</v>
      </c>
      <c r="P39">
        <v>0</v>
      </c>
      <c r="Q39">
        <v>0</v>
      </c>
      <c r="R39">
        <v>1</v>
      </c>
      <c r="S39">
        <v>1</v>
      </c>
      <c r="T39">
        <v>0</v>
      </c>
      <c r="U39">
        <v>1</v>
      </c>
      <c r="V39">
        <v>0</v>
      </c>
      <c r="W39">
        <v>0</v>
      </c>
      <c r="X39">
        <v>0</v>
      </c>
      <c r="Y39">
        <v>1</v>
      </c>
      <c r="Z39">
        <v>1</v>
      </c>
      <c r="AA39" s="26">
        <v>0</v>
      </c>
      <c r="AB39" s="26">
        <v>0</v>
      </c>
      <c r="AC39" s="26">
        <v>1</v>
      </c>
      <c r="AD39">
        <v>1</v>
      </c>
      <c r="AE39">
        <v>0</v>
      </c>
      <c r="AF39" s="26">
        <v>0</v>
      </c>
      <c r="AG39" s="26">
        <v>0</v>
      </c>
      <c r="AH39" s="26">
        <v>0</v>
      </c>
      <c r="AI39" s="26">
        <v>0</v>
      </c>
      <c r="AJ39">
        <v>1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>
        <v>0</v>
      </c>
      <c r="AR39">
        <v>1</v>
      </c>
      <c r="AS39">
        <v>0</v>
      </c>
      <c r="AV39">
        <v>0</v>
      </c>
      <c r="AW39">
        <v>1</v>
      </c>
      <c r="AX39">
        <v>0</v>
      </c>
      <c r="BA39">
        <v>0</v>
      </c>
      <c r="BB39">
        <v>1</v>
      </c>
      <c r="BC39">
        <v>0</v>
      </c>
      <c r="BF39">
        <v>1</v>
      </c>
      <c r="BG39">
        <v>1</v>
      </c>
      <c r="BH39">
        <v>1</v>
      </c>
      <c r="BI39">
        <v>0</v>
      </c>
    </row>
    <row r="40" spans="1:61">
      <c r="A40">
        <f t="shared" si="1"/>
        <v>37</v>
      </c>
      <c r="B40" s="16" t="s">
        <v>67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  <c r="I40">
        <v>0</v>
      </c>
      <c r="J40">
        <f t="shared" si="0"/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1</v>
      </c>
      <c r="T40">
        <v>0</v>
      </c>
      <c r="U40">
        <v>1</v>
      </c>
      <c r="V40">
        <v>0</v>
      </c>
      <c r="W40">
        <v>0</v>
      </c>
      <c r="X40">
        <v>1</v>
      </c>
      <c r="Y40">
        <v>1</v>
      </c>
      <c r="Z40">
        <v>1</v>
      </c>
      <c r="AA40" s="26">
        <v>0</v>
      </c>
      <c r="AB40" s="26">
        <v>0</v>
      </c>
      <c r="AC40" s="26">
        <v>1</v>
      </c>
      <c r="AD40">
        <v>1</v>
      </c>
      <c r="AE40">
        <v>0</v>
      </c>
      <c r="AF40" s="26">
        <v>0</v>
      </c>
      <c r="AG40" s="26">
        <v>0</v>
      </c>
      <c r="AH40">
        <v>1</v>
      </c>
      <c r="AI40" s="26">
        <v>0</v>
      </c>
      <c r="AJ40">
        <v>1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>
        <v>0</v>
      </c>
      <c r="AR40">
        <v>1</v>
      </c>
      <c r="AS40">
        <v>0</v>
      </c>
      <c r="AV40">
        <v>0</v>
      </c>
      <c r="AW40">
        <v>1</v>
      </c>
      <c r="AX40">
        <v>0</v>
      </c>
      <c r="BA40">
        <v>0</v>
      </c>
      <c r="BB40">
        <v>1</v>
      </c>
      <c r="BC40">
        <v>0</v>
      </c>
      <c r="BF40">
        <v>1</v>
      </c>
      <c r="BG40">
        <v>1</v>
      </c>
      <c r="BH40">
        <v>1</v>
      </c>
      <c r="BI40">
        <v>0</v>
      </c>
    </row>
    <row r="41" spans="1:61">
      <c r="A41">
        <f t="shared" si="1"/>
        <v>38</v>
      </c>
      <c r="B41" s="16" t="s">
        <v>68</v>
      </c>
      <c r="C41">
        <v>1</v>
      </c>
      <c r="D41">
        <v>1</v>
      </c>
      <c r="E41">
        <v>1</v>
      </c>
      <c r="F41">
        <v>1</v>
      </c>
      <c r="G41">
        <v>1</v>
      </c>
      <c r="H41">
        <v>2</v>
      </c>
      <c r="I41">
        <v>1</v>
      </c>
      <c r="J41">
        <f t="shared" si="0"/>
        <v>2</v>
      </c>
      <c r="K41">
        <v>1</v>
      </c>
      <c r="L41">
        <v>0</v>
      </c>
      <c r="M41">
        <v>0</v>
      </c>
      <c r="N41">
        <v>1</v>
      </c>
      <c r="O41">
        <v>1</v>
      </c>
      <c r="P41">
        <v>1</v>
      </c>
      <c r="Q41">
        <v>0</v>
      </c>
      <c r="R41">
        <v>1</v>
      </c>
      <c r="S41">
        <v>1</v>
      </c>
      <c r="T41">
        <v>0</v>
      </c>
      <c r="U41">
        <v>1</v>
      </c>
      <c r="V41">
        <v>0</v>
      </c>
      <c r="W41">
        <v>0</v>
      </c>
      <c r="X41">
        <v>1</v>
      </c>
      <c r="Y41">
        <v>0</v>
      </c>
      <c r="Z41">
        <v>1</v>
      </c>
      <c r="AA41" s="26">
        <v>0</v>
      </c>
      <c r="AB41" s="26">
        <v>1</v>
      </c>
      <c r="AC41" s="26">
        <v>0</v>
      </c>
      <c r="AD41">
        <v>1</v>
      </c>
      <c r="AE41">
        <v>0</v>
      </c>
      <c r="AF41" s="26">
        <v>0</v>
      </c>
      <c r="AG41" s="26">
        <v>0</v>
      </c>
      <c r="AH41" s="26">
        <v>0</v>
      </c>
      <c r="AI41" s="26">
        <v>0</v>
      </c>
      <c r="AJ41">
        <v>1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>
        <v>0</v>
      </c>
      <c r="AQ41">
        <v>1</v>
      </c>
      <c r="AR41">
        <v>1</v>
      </c>
      <c r="AS41">
        <v>0</v>
      </c>
      <c r="AV41">
        <v>0</v>
      </c>
      <c r="AW41">
        <v>1</v>
      </c>
      <c r="AX41">
        <v>0</v>
      </c>
      <c r="BA41">
        <v>0</v>
      </c>
      <c r="BB41">
        <v>1</v>
      </c>
      <c r="BC41">
        <v>0</v>
      </c>
      <c r="BF41">
        <v>1</v>
      </c>
      <c r="BG41">
        <v>1</v>
      </c>
      <c r="BH41">
        <v>1</v>
      </c>
      <c r="BI41">
        <v>0</v>
      </c>
    </row>
    <row r="42" spans="1:61">
      <c r="A42">
        <f t="shared" si="1"/>
        <v>39</v>
      </c>
      <c r="B42" s="1" t="s">
        <v>69</v>
      </c>
      <c r="C42">
        <v>0</v>
      </c>
      <c r="D42">
        <v>1</v>
      </c>
      <c r="E42">
        <v>0</v>
      </c>
      <c r="F42">
        <v>0</v>
      </c>
      <c r="G42">
        <v>1</v>
      </c>
      <c r="H42">
        <v>0</v>
      </c>
      <c r="I42">
        <v>0</v>
      </c>
      <c r="J42">
        <f t="shared" si="0"/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1</v>
      </c>
      <c r="U42">
        <v>2</v>
      </c>
      <c r="V42">
        <v>0</v>
      </c>
      <c r="W42">
        <v>0</v>
      </c>
      <c r="X42">
        <v>1</v>
      </c>
      <c r="Y42">
        <v>0</v>
      </c>
      <c r="Z42">
        <v>1</v>
      </c>
      <c r="AA42" s="26">
        <v>0</v>
      </c>
      <c r="AB42" s="26">
        <v>0</v>
      </c>
      <c r="AC42" s="26">
        <v>0</v>
      </c>
      <c r="AD42">
        <v>0</v>
      </c>
      <c r="AE42">
        <v>0</v>
      </c>
      <c r="AF42" s="26">
        <v>0</v>
      </c>
      <c r="AG42" s="26">
        <v>0</v>
      </c>
      <c r="AH42" s="26">
        <v>0</v>
      </c>
      <c r="AI42" s="26">
        <v>0</v>
      </c>
      <c r="AJ42">
        <v>1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>
        <v>0</v>
      </c>
      <c r="AR42">
        <v>0</v>
      </c>
      <c r="AS42">
        <v>0</v>
      </c>
      <c r="AV42">
        <v>0</v>
      </c>
      <c r="AW42">
        <v>1</v>
      </c>
      <c r="AX42">
        <v>0</v>
      </c>
      <c r="BA42">
        <v>1</v>
      </c>
      <c r="BB42">
        <v>1</v>
      </c>
      <c r="BC42">
        <v>0</v>
      </c>
      <c r="BF42">
        <v>1</v>
      </c>
      <c r="BG42">
        <v>1</v>
      </c>
      <c r="BH42">
        <v>1</v>
      </c>
      <c r="BI42">
        <v>0</v>
      </c>
    </row>
    <row r="43" spans="1:61">
      <c r="A43">
        <f t="shared" si="1"/>
        <v>40</v>
      </c>
      <c r="B43" s="1" t="s">
        <v>151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1</v>
      </c>
      <c r="J43">
        <f t="shared" si="0"/>
        <v>2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1</v>
      </c>
      <c r="U43">
        <v>2</v>
      </c>
      <c r="V43">
        <v>0</v>
      </c>
      <c r="W43">
        <v>0</v>
      </c>
      <c r="X43">
        <v>0</v>
      </c>
      <c r="Y43">
        <v>0</v>
      </c>
      <c r="Z43">
        <v>1</v>
      </c>
      <c r="AA43" s="26">
        <v>0</v>
      </c>
      <c r="AB43" s="26">
        <v>0</v>
      </c>
      <c r="AC43" s="26">
        <v>0</v>
      </c>
      <c r="AD43">
        <v>0</v>
      </c>
      <c r="AE43">
        <v>0</v>
      </c>
      <c r="AF43" s="26">
        <v>0</v>
      </c>
      <c r="AG43" s="26">
        <v>0</v>
      </c>
      <c r="AH43" s="26">
        <v>0</v>
      </c>
      <c r="AI43" s="26">
        <v>0</v>
      </c>
      <c r="AJ43">
        <v>1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>
        <v>0</v>
      </c>
      <c r="AQ43">
        <v>0</v>
      </c>
      <c r="AR43">
        <v>0</v>
      </c>
      <c r="AS43">
        <v>0</v>
      </c>
      <c r="AV43">
        <v>0</v>
      </c>
      <c r="AW43">
        <v>1</v>
      </c>
      <c r="AX43">
        <v>0</v>
      </c>
      <c r="BA43">
        <v>1</v>
      </c>
      <c r="BB43">
        <v>1</v>
      </c>
      <c r="BC43">
        <v>0</v>
      </c>
      <c r="BF43">
        <v>1</v>
      </c>
      <c r="BG43">
        <v>1</v>
      </c>
      <c r="BH43">
        <v>1</v>
      </c>
      <c r="BI43">
        <v>0</v>
      </c>
    </row>
    <row r="44" spans="1:61">
      <c r="A44">
        <f t="shared" si="1"/>
        <v>41</v>
      </c>
      <c r="B44" s="1" t="s">
        <v>149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  <c r="I44">
        <v>0</v>
      </c>
      <c r="J44">
        <f t="shared" si="0"/>
        <v>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2</v>
      </c>
      <c r="V44">
        <v>0</v>
      </c>
      <c r="W44">
        <v>0</v>
      </c>
      <c r="X44">
        <v>0</v>
      </c>
      <c r="Y44">
        <v>1</v>
      </c>
      <c r="Z44">
        <v>1</v>
      </c>
      <c r="AA44" s="26">
        <v>0</v>
      </c>
      <c r="AB44" s="26">
        <v>0</v>
      </c>
      <c r="AC44" s="26">
        <v>0</v>
      </c>
      <c r="AD44">
        <v>0</v>
      </c>
      <c r="AE44">
        <v>0</v>
      </c>
      <c r="AF44" s="26">
        <v>0</v>
      </c>
      <c r="AG44" s="26">
        <v>0</v>
      </c>
      <c r="AH44" s="26">
        <v>0</v>
      </c>
      <c r="AI44" s="26">
        <v>0</v>
      </c>
      <c r="AJ44">
        <v>1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>
        <v>0</v>
      </c>
      <c r="AR44">
        <v>0</v>
      </c>
      <c r="AS44">
        <v>0</v>
      </c>
      <c r="AV44">
        <v>0</v>
      </c>
      <c r="AW44">
        <v>1</v>
      </c>
      <c r="AX44">
        <v>0</v>
      </c>
      <c r="BA44">
        <v>0</v>
      </c>
      <c r="BB44">
        <v>1</v>
      </c>
      <c r="BC44">
        <v>0</v>
      </c>
      <c r="BF44">
        <v>1</v>
      </c>
      <c r="BG44">
        <v>1</v>
      </c>
      <c r="BH44">
        <v>1</v>
      </c>
      <c r="BI44">
        <v>0</v>
      </c>
    </row>
    <row r="45" spans="1:61">
      <c r="A45">
        <f t="shared" si="1"/>
        <v>42</v>
      </c>
      <c r="B45" s="1" t="s">
        <v>147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  <c r="I45">
        <v>0</v>
      </c>
      <c r="J45">
        <f t="shared" si="0"/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1</v>
      </c>
      <c r="U45">
        <v>2</v>
      </c>
      <c r="V45">
        <v>0</v>
      </c>
      <c r="W45">
        <v>0</v>
      </c>
      <c r="X45">
        <v>0</v>
      </c>
      <c r="Y45">
        <v>1</v>
      </c>
      <c r="Z45">
        <v>1</v>
      </c>
      <c r="AA45" s="26">
        <v>0</v>
      </c>
      <c r="AB45" s="26">
        <v>0</v>
      </c>
      <c r="AC45" s="26">
        <v>0</v>
      </c>
      <c r="AD45">
        <v>0</v>
      </c>
      <c r="AE45">
        <v>0</v>
      </c>
      <c r="AF45" s="26">
        <v>0</v>
      </c>
      <c r="AG45" s="26">
        <v>0</v>
      </c>
      <c r="AH45" s="26">
        <v>0</v>
      </c>
      <c r="AI45" s="26">
        <v>0</v>
      </c>
      <c r="AJ45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>
        <v>0</v>
      </c>
      <c r="AQ45">
        <v>0</v>
      </c>
      <c r="AR45">
        <v>0</v>
      </c>
      <c r="AS45">
        <v>0</v>
      </c>
      <c r="AV45">
        <v>0</v>
      </c>
      <c r="AW45">
        <v>1</v>
      </c>
      <c r="AX45">
        <v>0</v>
      </c>
      <c r="BA45">
        <v>0</v>
      </c>
      <c r="BB45">
        <v>1</v>
      </c>
      <c r="BC45">
        <v>0</v>
      </c>
      <c r="BF45">
        <v>1</v>
      </c>
      <c r="BG45">
        <v>1</v>
      </c>
      <c r="BH45">
        <v>1</v>
      </c>
      <c r="BI45">
        <v>0</v>
      </c>
    </row>
    <row r="46" spans="1:61">
      <c r="A46">
        <f t="shared" si="1"/>
        <v>43</v>
      </c>
      <c r="B46" s="1" t="s">
        <v>70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  <c r="I46">
        <v>0</v>
      </c>
      <c r="J46">
        <f t="shared" si="0"/>
        <v>1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v>2</v>
      </c>
      <c r="V46">
        <v>0</v>
      </c>
      <c r="W46">
        <v>0</v>
      </c>
      <c r="X46">
        <v>0</v>
      </c>
      <c r="Y46">
        <v>0</v>
      </c>
      <c r="Z46">
        <v>1</v>
      </c>
      <c r="AA46" s="26">
        <v>0</v>
      </c>
      <c r="AB46" s="26">
        <v>0</v>
      </c>
      <c r="AC46" s="26">
        <v>0</v>
      </c>
      <c r="AD46">
        <v>0</v>
      </c>
      <c r="AE46">
        <v>0</v>
      </c>
      <c r="AF46" s="26">
        <v>0</v>
      </c>
      <c r="AG46" s="26">
        <v>0</v>
      </c>
      <c r="AH46" s="26">
        <v>0</v>
      </c>
      <c r="AI46" s="26">
        <v>0</v>
      </c>
      <c r="AJ46">
        <v>1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>
        <v>0</v>
      </c>
      <c r="AR46">
        <v>0</v>
      </c>
      <c r="AS46">
        <v>0</v>
      </c>
      <c r="AV46">
        <v>0</v>
      </c>
      <c r="AW46">
        <v>1</v>
      </c>
      <c r="AX46">
        <v>0</v>
      </c>
      <c r="BA46">
        <v>0</v>
      </c>
      <c r="BB46">
        <v>1</v>
      </c>
      <c r="BC46">
        <v>0</v>
      </c>
      <c r="BF46">
        <v>0</v>
      </c>
      <c r="BG46">
        <v>0</v>
      </c>
      <c r="BH46">
        <v>1</v>
      </c>
      <c r="BI46">
        <v>0</v>
      </c>
    </row>
    <row r="47" spans="1:61">
      <c r="A47">
        <f t="shared" si="1"/>
        <v>44</v>
      </c>
      <c r="B47" s="1" t="s">
        <v>150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1</v>
      </c>
      <c r="J47">
        <f t="shared" si="0"/>
        <v>2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1</v>
      </c>
      <c r="U47">
        <v>2</v>
      </c>
      <c r="V47">
        <v>0</v>
      </c>
      <c r="W47">
        <v>0</v>
      </c>
      <c r="X47">
        <v>0</v>
      </c>
      <c r="Y47">
        <v>1</v>
      </c>
      <c r="Z47">
        <v>1</v>
      </c>
      <c r="AA47" s="26">
        <v>0</v>
      </c>
      <c r="AB47" s="26">
        <v>0</v>
      </c>
      <c r="AC47" s="26">
        <v>0</v>
      </c>
      <c r="AD47">
        <v>1</v>
      </c>
      <c r="AE47">
        <v>0</v>
      </c>
      <c r="AF47" s="26">
        <v>0</v>
      </c>
      <c r="AG47" s="26">
        <v>0</v>
      </c>
      <c r="AH47" s="26">
        <v>0</v>
      </c>
      <c r="AI47" s="26">
        <v>0</v>
      </c>
      <c r="AJ47">
        <v>1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>
        <v>0</v>
      </c>
      <c r="AQ47">
        <v>0</v>
      </c>
      <c r="AR47">
        <v>0</v>
      </c>
      <c r="AS47">
        <v>0</v>
      </c>
      <c r="AV47">
        <v>0</v>
      </c>
      <c r="AW47">
        <v>1</v>
      </c>
      <c r="AX47">
        <v>0</v>
      </c>
      <c r="BA47">
        <v>1</v>
      </c>
      <c r="BB47">
        <v>1</v>
      </c>
      <c r="BC47">
        <v>0</v>
      </c>
      <c r="BF47">
        <v>1</v>
      </c>
      <c r="BG47">
        <v>1</v>
      </c>
      <c r="BH47">
        <v>1</v>
      </c>
      <c r="BI47">
        <v>0</v>
      </c>
    </row>
    <row r="48" spans="1:61">
      <c r="A48">
        <f t="shared" si="1"/>
        <v>45</v>
      </c>
      <c r="B48" s="1" t="s">
        <v>148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0</v>
      </c>
      <c r="J48">
        <f t="shared" si="0"/>
        <v>1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1</v>
      </c>
      <c r="U48">
        <v>2</v>
      </c>
      <c r="V48">
        <v>0</v>
      </c>
      <c r="W48">
        <v>0</v>
      </c>
      <c r="X48">
        <v>0</v>
      </c>
      <c r="Y48">
        <v>1</v>
      </c>
      <c r="Z48">
        <v>1</v>
      </c>
      <c r="AA48" s="26">
        <v>0</v>
      </c>
      <c r="AB48" s="26">
        <v>0</v>
      </c>
      <c r="AC48" s="26">
        <v>1</v>
      </c>
      <c r="AD48">
        <v>0</v>
      </c>
      <c r="AE48">
        <v>0</v>
      </c>
      <c r="AF48" s="26">
        <v>0</v>
      </c>
      <c r="AG48" s="26">
        <v>0</v>
      </c>
      <c r="AH48" s="26">
        <v>0</v>
      </c>
      <c r="AI48" s="26">
        <v>0</v>
      </c>
      <c r="AJ48">
        <v>1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>
        <v>0</v>
      </c>
      <c r="AQ48">
        <v>0</v>
      </c>
      <c r="AR48">
        <v>0</v>
      </c>
      <c r="AS48">
        <v>0</v>
      </c>
      <c r="AV48">
        <v>0</v>
      </c>
      <c r="AW48">
        <v>1</v>
      </c>
      <c r="AX48">
        <v>0</v>
      </c>
      <c r="BA48">
        <v>1</v>
      </c>
      <c r="BB48">
        <v>1</v>
      </c>
      <c r="BC48">
        <v>0</v>
      </c>
      <c r="BF48">
        <v>1</v>
      </c>
      <c r="BG48">
        <v>1</v>
      </c>
      <c r="BH48">
        <v>1</v>
      </c>
      <c r="BI48">
        <v>0</v>
      </c>
    </row>
    <row r="49" spans="1:219">
      <c r="A49">
        <f t="shared" si="1"/>
        <v>46</v>
      </c>
      <c r="B49" s="1" t="s">
        <v>71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f t="shared" si="0"/>
        <v>1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1</v>
      </c>
      <c r="U49">
        <v>2</v>
      </c>
      <c r="V49">
        <v>0</v>
      </c>
      <c r="AQ49">
        <v>0</v>
      </c>
      <c r="AR49">
        <v>0</v>
      </c>
      <c r="AS49">
        <v>0</v>
      </c>
      <c r="AV49">
        <v>0</v>
      </c>
      <c r="AW49">
        <v>1</v>
      </c>
      <c r="AX49">
        <v>0</v>
      </c>
      <c r="BA49">
        <v>0</v>
      </c>
      <c r="BB49">
        <v>1</v>
      </c>
      <c r="BC49">
        <v>0</v>
      </c>
      <c r="BF49">
        <v>1</v>
      </c>
      <c r="BG49">
        <v>1</v>
      </c>
      <c r="BH49">
        <v>1</v>
      </c>
      <c r="BI49">
        <v>0</v>
      </c>
    </row>
    <row r="51" spans="1:219">
      <c r="B51" s="19" t="s">
        <v>229</v>
      </c>
      <c r="C51">
        <v>0</v>
      </c>
      <c r="D51">
        <f>C51+1</f>
        <v>1</v>
      </c>
      <c r="E51">
        <f t="shared" ref="E51:BP51" si="2">D51+1</f>
        <v>2</v>
      </c>
      <c r="F51">
        <f t="shared" si="2"/>
        <v>3</v>
      </c>
      <c r="G51">
        <f t="shared" si="2"/>
        <v>4</v>
      </c>
      <c r="H51">
        <f t="shared" si="2"/>
        <v>5</v>
      </c>
      <c r="I51">
        <f t="shared" si="2"/>
        <v>6</v>
      </c>
      <c r="J51">
        <f t="shared" si="2"/>
        <v>7</v>
      </c>
      <c r="K51">
        <f t="shared" si="2"/>
        <v>8</v>
      </c>
      <c r="L51">
        <f t="shared" si="2"/>
        <v>9</v>
      </c>
      <c r="M51">
        <f t="shared" si="2"/>
        <v>10</v>
      </c>
      <c r="N51">
        <f t="shared" si="2"/>
        <v>11</v>
      </c>
      <c r="O51">
        <f t="shared" si="2"/>
        <v>12</v>
      </c>
      <c r="P51">
        <f t="shared" si="2"/>
        <v>13</v>
      </c>
      <c r="Q51">
        <f t="shared" si="2"/>
        <v>14</v>
      </c>
      <c r="R51">
        <f t="shared" si="2"/>
        <v>15</v>
      </c>
      <c r="S51">
        <f t="shared" si="2"/>
        <v>16</v>
      </c>
      <c r="T51">
        <f t="shared" si="2"/>
        <v>17</v>
      </c>
      <c r="U51">
        <f t="shared" si="2"/>
        <v>18</v>
      </c>
      <c r="V51">
        <f t="shared" si="2"/>
        <v>19</v>
      </c>
      <c r="W51">
        <f t="shared" si="2"/>
        <v>20</v>
      </c>
      <c r="X51">
        <f t="shared" si="2"/>
        <v>21</v>
      </c>
      <c r="Y51">
        <f t="shared" si="2"/>
        <v>22</v>
      </c>
      <c r="Z51">
        <f t="shared" si="2"/>
        <v>23</v>
      </c>
      <c r="AA51">
        <f t="shared" si="2"/>
        <v>24</v>
      </c>
      <c r="AB51">
        <f t="shared" si="2"/>
        <v>25</v>
      </c>
      <c r="AC51">
        <f t="shared" si="2"/>
        <v>26</v>
      </c>
      <c r="AD51">
        <f t="shared" si="2"/>
        <v>27</v>
      </c>
      <c r="AE51">
        <f t="shared" si="2"/>
        <v>28</v>
      </c>
      <c r="AF51">
        <f t="shared" si="2"/>
        <v>29</v>
      </c>
      <c r="AG51">
        <f t="shared" si="2"/>
        <v>30</v>
      </c>
      <c r="AH51">
        <f t="shared" si="2"/>
        <v>31</v>
      </c>
      <c r="AI51">
        <f t="shared" si="2"/>
        <v>32</v>
      </c>
      <c r="AJ51">
        <f t="shared" si="2"/>
        <v>33</v>
      </c>
      <c r="AK51">
        <f t="shared" si="2"/>
        <v>34</v>
      </c>
      <c r="AL51">
        <f t="shared" si="2"/>
        <v>35</v>
      </c>
      <c r="AM51">
        <f t="shared" si="2"/>
        <v>36</v>
      </c>
      <c r="AN51">
        <f t="shared" si="2"/>
        <v>37</v>
      </c>
      <c r="AO51">
        <f t="shared" si="2"/>
        <v>38</v>
      </c>
      <c r="AP51">
        <f t="shared" si="2"/>
        <v>39</v>
      </c>
      <c r="AQ51">
        <f t="shared" si="2"/>
        <v>40</v>
      </c>
      <c r="AR51">
        <f t="shared" si="2"/>
        <v>41</v>
      </c>
      <c r="AS51">
        <f t="shared" si="2"/>
        <v>42</v>
      </c>
      <c r="AT51">
        <f t="shared" si="2"/>
        <v>43</v>
      </c>
      <c r="AU51">
        <f t="shared" si="2"/>
        <v>44</v>
      </c>
      <c r="AV51">
        <f t="shared" si="2"/>
        <v>45</v>
      </c>
      <c r="AW51">
        <f t="shared" si="2"/>
        <v>46</v>
      </c>
      <c r="AX51">
        <f t="shared" si="2"/>
        <v>47</v>
      </c>
      <c r="AY51">
        <f t="shared" si="2"/>
        <v>48</v>
      </c>
      <c r="AZ51">
        <f t="shared" si="2"/>
        <v>49</v>
      </c>
      <c r="BA51">
        <f t="shared" si="2"/>
        <v>50</v>
      </c>
      <c r="BB51">
        <f t="shared" si="2"/>
        <v>51</v>
      </c>
      <c r="BC51">
        <f t="shared" si="2"/>
        <v>52</v>
      </c>
      <c r="BD51">
        <f t="shared" si="2"/>
        <v>53</v>
      </c>
      <c r="BE51">
        <f t="shared" si="2"/>
        <v>54</v>
      </c>
      <c r="BF51">
        <f t="shared" si="2"/>
        <v>55</v>
      </c>
      <c r="BG51">
        <f t="shared" si="2"/>
        <v>56</v>
      </c>
      <c r="BH51">
        <f t="shared" si="2"/>
        <v>57</v>
      </c>
      <c r="BI51">
        <f t="shared" si="2"/>
        <v>58</v>
      </c>
      <c r="BJ51">
        <f t="shared" si="2"/>
        <v>59</v>
      </c>
      <c r="BK51">
        <f t="shared" si="2"/>
        <v>60</v>
      </c>
      <c r="BL51">
        <f t="shared" si="2"/>
        <v>61</v>
      </c>
      <c r="BM51">
        <f t="shared" si="2"/>
        <v>62</v>
      </c>
      <c r="BN51">
        <f t="shared" si="2"/>
        <v>63</v>
      </c>
      <c r="BO51">
        <f t="shared" si="2"/>
        <v>64</v>
      </c>
      <c r="BP51">
        <f t="shared" si="2"/>
        <v>65</v>
      </c>
      <c r="BQ51">
        <f t="shared" ref="BQ51:EB51" si="3">BP51+1</f>
        <v>66</v>
      </c>
      <c r="BR51">
        <f t="shared" si="3"/>
        <v>67</v>
      </c>
      <c r="BS51">
        <f t="shared" si="3"/>
        <v>68</v>
      </c>
      <c r="BT51">
        <f t="shared" si="3"/>
        <v>69</v>
      </c>
      <c r="BU51">
        <f t="shared" si="3"/>
        <v>70</v>
      </c>
      <c r="BV51">
        <f t="shared" si="3"/>
        <v>71</v>
      </c>
      <c r="BW51">
        <f t="shared" si="3"/>
        <v>72</v>
      </c>
      <c r="BX51">
        <f t="shared" si="3"/>
        <v>73</v>
      </c>
      <c r="BY51">
        <f t="shared" si="3"/>
        <v>74</v>
      </c>
      <c r="BZ51">
        <f t="shared" si="3"/>
        <v>75</v>
      </c>
      <c r="CA51">
        <f t="shared" si="3"/>
        <v>76</v>
      </c>
      <c r="CB51">
        <f t="shared" si="3"/>
        <v>77</v>
      </c>
      <c r="CC51">
        <f t="shared" si="3"/>
        <v>78</v>
      </c>
      <c r="CD51">
        <f t="shared" si="3"/>
        <v>79</v>
      </c>
      <c r="CE51">
        <f t="shared" si="3"/>
        <v>80</v>
      </c>
      <c r="CF51">
        <f t="shared" si="3"/>
        <v>81</v>
      </c>
      <c r="CG51">
        <f t="shared" si="3"/>
        <v>82</v>
      </c>
      <c r="CH51">
        <f t="shared" si="3"/>
        <v>83</v>
      </c>
      <c r="CI51">
        <f t="shared" si="3"/>
        <v>84</v>
      </c>
      <c r="CJ51">
        <f t="shared" si="3"/>
        <v>85</v>
      </c>
      <c r="CK51">
        <f t="shared" si="3"/>
        <v>86</v>
      </c>
      <c r="CL51">
        <f t="shared" si="3"/>
        <v>87</v>
      </c>
      <c r="CM51">
        <f t="shared" si="3"/>
        <v>88</v>
      </c>
      <c r="CN51">
        <f t="shared" si="3"/>
        <v>89</v>
      </c>
      <c r="CO51">
        <f t="shared" si="3"/>
        <v>90</v>
      </c>
      <c r="CP51">
        <f t="shared" si="3"/>
        <v>91</v>
      </c>
      <c r="CQ51">
        <f t="shared" si="3"/>
        <v>92</v>
      </c>
      <c r="CR51">
        <f t="shared" si="3"/>
        <v>93</v>
      </c>
      <c r="CS51">
        <f t="shared" si="3"/>
        <v>94</v>
      </c>
      <c r="CT51">
        <f t="shared" si="3"/>
        <v>95</v>
      </c>
      <c r="CU51">
        <f t="shared" si="3"/>
        <v>96</v>
      </c>
      <c r="CV51">
        <f t="shared" si="3"/>
        <v>97</v>
      </c>
      <c r="CW51">
        <f t="shared" si="3"/>
        <v>98</v>
      </c>
      <c r="CX51">
        <f t="shared" si="3"/>
        <v>99</v>
      </c>
      <c r="CY51">
        <f t="shared" si="3"/>
        <v>100</v>
      </c>
      <c r="CZ51">
        <f t="shared" si="3"/>
        <v>101</v>
      </c>
      <c r="DA51">
        <f t="shared" si="3"/>
        <v>102</v>
      </c>
      <c r="DB51">
        <f t="shared" si="3"/>
        <v>103</v>
      </c>
      <c r="DC51">
        <f t="shared" si="3"/>
        <v>104</v>
      </c>
      <c r="DD51">
        <f t="shared" si="3"/>
        <v>105</v>
      </c>
      <c r="DE51">
        <f t="shared" si="3"/>
        <v>106</v>
      </c>
      <c r="DF51">
        <f t="shared" si="3"/>
        <v>107</v>
      </c>
      <c r="DG51">
        <f t="shared" si="3"/>
        <v>108</v>
      </c>
      <c r="DH51">
        <f t="shared" si="3"/>
        <v>109</v>
      </c>
      <c r="DI51">
        <f t="shared" si="3"/>
        <v>110</v>
      </c>
      <c r="DJ51">
        <f t="shared" si="3"/>
        <v>111</v>
      </c>
      <c r="DK51">
        <f t="shared" si="3"/>
        <v>112</v>
      </c>
      <c r="DL51">
        <f t="shared" si="3"/>
        <v>113</v>
      </c>
      <c r="DM51">
        <f t="shared" si="3"/>
        <v>114</v>
      </c>
      <c r="DN51">
        <f t="shared" si="3"/>
        <v>115</v>
      </c>
      <c r="DO51">
        <f t="shared" si="3"/>
        <v>116</v>
      </c>
      <c r="DP51">
        <f t="shared" si="3"/>
        <v>117</v>
      </c>
      <c r="DQ51">
        <f t="shared" si="3"/>
        <v>118</v>
      </c>
      <c r="DR51">
        <f t="shared" si="3"/>
        <v>119</v>
      </c>
      <c r="DS51">
        <f t="shared" si="3"/>
        <v>120</v>
      </c>
      <c r="DT51">
        <f t="shared" si="3"/>
        <v>121</v>
      </c>
      <c r="DU51">
        <f t="shared" si="3"/>
        <v>122</v>
      </c>
      <c r="DV51">
        <f t="shared" si="3"/>
        <v>123</v>
      </c>
      <c r="DW51">
        <f t="shared" si="3"/>
        <v>124</v>
      </c>
      <c r="DX51">
        <f t="shared" si="3"/>
        <v>125</v>
      </c>
      <c r="DY51">
        <f t="shared" si="3"/>
        <v>126</v>
      </c>
      <c r="DZ51">
        <f t="shared" si="3"/>
        <v>127</v>
      </c>
      <c r="EA51">
        <f t="shared" si="3"/>
        <v>128</v>
      </c>
      <c r="EB51">
        <f t="shared" si="3"/>
        <v>129</v>
      </c>
      <c r="EC51">
        <f t="shared" ref="EC51:GN51" si="4">EB51+1</f>
        <v>130</v>
      </c>
      <c r="ED51">
        <f t="shared" si="4"/>
        <v>131</v>
      </c>
      <c r="EE51">
        <f t="shared" si="4"/>
        <v>132</v>
      </c>
      <c r="EF51">
        <f t="shared" si="4"/>
        <v>133</v>
      </c>
      <c r="EG51">
        <f t="shared" si="4"/>
        <v>134</v>
      </c>
      <c r="EH51">
        <f t="shared" si="4"/>
        <v>135</v>
      </c>
      <c r="EI51">
        <f t="shared" si="4"/>
        <v>136</v>
      </c>
      <c r="EJ51">
        <f t="shared" si="4"/>
        <v>137</v>
      </c>
      <c r="EK51">
        <f t="shared" si="4"/>
        <v>138</v>
      </c>
      <c r="EL51">
        <f t="shared" si="4"/>
        <v>139</v>
      </c>
      <c r="EM51">
        <f t="shared" si="4"/>
        <v>140</v>
      </c>
      <c r="EN51">
        <f t="shared" si="4"/>
        <v>141</v>
      </c>
      <c r="EO51">
        <f t="shared" si="4"/>
        <v>142</v>
      </c>
      <c r="EP51">
        <f t="shared" si="4"/>
        <v>143</v>
      </c>
      <c r="EQ51">
        <f t="shared" si="4"/>
        <v>144</v>
      </c>
      <c r="ER51">
        <f t="shared" si="4"/>
        <v>145</v>
      </c>
      <c r="ES51">
        <f t="shared" si="4"/>
        <v>146</v>
      </c>
      <c r="ET51">
        <f t="shared" si="4"/>
        <v>147</v>
      </c>
      <c r="EU51">
        <f t="shared" si="4"/>
        <v>148</v>
      </c>
      <c r="EV51">
        <f t="shared" si="4"/>
        <v>149</v>
      </c>
      <c r="EW51">
        <f t="shared" si="4"/>
        <v>150</v>
      </c>
      <c r="EX51">
        <f t="shared" si="4"/>
        <v>151</v>
      </c>
      <c r="EY51">
        <f t="shared" si="4"/>
        <v>152</v>
      </c>
      <c r="EZ51">
        <f t="shared" si="4"/>
        <v>153</v>
      </c>
      <c r="FA51">
        <f t="shared" si="4"/>
        <v>154</v>
      </c>
      <c r="FB51">
        <f t="shared" si="4"/>
        <v>155</v>
      </c>
      <c r="FC51">
        <f t="shared" si="4"/>
        <v>156</v>
      </c>
      <c r="FD51">
        <f t="shared" si="4"/>
        <v>157</v>
      </c>
      <c r="FE51">
        <f t="shared" si="4"/>
        <v>158</v>
      </c>
      <c r="FF51">
        <f t="shared" si="4"/>
        <v>159</v>
      </c>
      <c r="FG51">
        <f t="shared" si="4"/>
        <v>160</v>
      </c>
      <c r="FH51">
        <f t="shared" si="4"/>
        <v>161</v>
      </c>
      <c r="FI51">
        <f t="shared" si="4"/>
        <v>162</v>
      </c>
      <c r="FJ51">
        <f t="shared" si="4"/>
        <v>163</v>
      </c>
      <c r="FK51">
        <f t="shared" si="4"/>
        <v>164</v>
      </c>
      <c r="FL51">
        <f t="shared" si="4"/>
        <v>165</v>
      </c>
      <c r="FM51">
        <f t="shared" si="4"/>
        <v>166</v>
      </c>
      <c r="FN51">
        <f t="shared" si="4"/>
        <v>167</v>
      </c>
      <c r="FO51">
        <f t="shared" si="4"/>
        <v>168</v>
      </c>
      <c r="FP51">
        <f t="shared" si="4"/>
        <v>169</v>
      </c>
      <c r="FQ51">
        <f t="shared" si="4"/>
        <v>170</v>
      </c>
      <c r="FR51">
        <f t="shared" si="4"/>
        <v>171</v>
      </c>
      <c r="FS51">
        <f t="shared" si="4"/>
        <v>172</v>
      </c>
      <c r="FT51">
        <f t="shared" si="4"/>
        <v>173</v>
      </c>
      <c r="FU51">
        <f t="shared" si="4"/>
        <v>174</v>
      </c>
      <c r="FV51">
        <f t="shared" si="4"/>
        <v>175</v>
      </c>
      <c r="FW51">
        <f t="shared" si="4"/>
        <v>176</v>
      </c>
      <c r="FX51">
        <f t="shared" si="4"/>
        <v>177</v>
      </c>
      <c r="FY51">
        <f t="shared" si="4"/>
        <v>178</v>
      </c>
      <c r="FZ51">
        <f t="shared" si="4"/>
        <v>179</v>
      </c>
      <c r="GA51">
        <f t="shared" si="4"/>
        <v>180</v>
      </c>
      <c r="GB51">
        <f t="shared" si="4"/>
        <v>181</v>
      </c>
      <c r="GC51">
        <f t="shared" si="4"/>
        <v>182</v>
      </c>
      <c r="GD51">
        <f t="shared" si="4"/>
        <v>183</v>
      </c>
      <c r="GE51">
        <f t="shared" si="4"/>
        <v>184</v>
      </c>
      <c r="GF51">
        <f t="shared" si="4"/>
        <v>185</v>
      </c>
      <c r="GG51">
        <f t="shared" si="4"/>
        <v>186</v>
      </c>
      <c r="GH51">
        <f t="shared" si="4"/>
        <v>187</v>
      </c>
      <c r="GI51">
        <f t="shared" si="4"/>
        <v>188</v>
      </c>
      <c r="GJ51">
        <f t="shared" si="4"/>
        <v>189</v>
      </c>
      <c r="GK51">
        <f t="shared" si="4"/>
        <v>190</v>
      </c>
      <c r="GL51">
        <f t="shared" si="4"/>
        <v>191</v>
      </c>
      <c r="GM51">
        <f t="shared" si="4"/>
        <v>192</v>
      </c>
      <c r="GN51">
        <f t="shared" si="4"/>
        <v>193</v>
      </c>
      <c r="GO51">
        <f t="shared" ref="GO51:HK51" si="5">GN51+1</f>
        <v>194</v>
      </c>
      <c r="GP51">
        <f t="shared" si="5"/>
        <v>195</v>
      </c>
      <c r="GQ51">
        <f t="shared" si="5"/>
        <v>196</v>
      </c>
      <c r="GR51">
        <f t="shared" si="5"/>
        <v>197</v>
      </c>
      <c r="GS51">
        <f t="shared" si="5"/>
        <v>198</v>
      </c>
      <c r="GT51">
        <f t="shared" si="5"/>
        <v>199</v>
      </c>
      <c r="GU51">
        <f t="shared" si="5"/>
        <v>200</v>
      </c>
      <c r="GV51">
        <f t="shared" si="5"/>
        <v>201</v>
      </c>
      <c r="GW51">
        <f t="shared" si="5"/>
        <v>202</v>
      </c>
      <c r="GX51">
        <f t="shared" si="5"/>
        <v>203</v>
      </c>
      <c r="GY51">
        <f t="shared" si="5"/>
        <v>204</v>
      </c>
      <c r="GZ51">
        <f t="shared" si="5"/>
        <v>205</v>
      </c>
      <c r="HA51">
        <f t="shared" si="5"/>
        <v>206</v>
      </c>
      <c r="HB51">
        <f t="shared" si="5"/>
        <v>207</v>
      </c>
      <c r="HC51">
        <f t="shared" si="5"/>
        <v>208</v>
      </c>
      <c r="HD51">
        <f t="shared" si="5"/>
        <v>209</v>
      </c>
      <c r="HE51">
        <f t="shared" si="5"/>
        <v>210</v>
      </c>
      <c r="HF51">
        <f t="shared" si="5"/>
        <v>211</v>
      </c>
      <c r="HG51">
        <f t="shared" si="5"/>
        <v>212</v>
      </c>
      <c r="HH51">
        <f t="shared" si="5"/>
        <v>213</v>
      </c>
      <c r="HI51">
        <f t="shared" si="5"/>
        <v>214</v>
      </c>
      <c r="HJ51">
        <f t="shared" si="5"/>
        <v>215</v>
      </c>
      <c r="HK51">
        <f t="shared" si="5"/>
        <v>216</v>
      </c>
    </row>
  </sheetData>
  <mergeCells count="15">
    <mergeCell ref="C1:V1"/>
    <mergeCell ref="W1:AP1"/>
    <mergeCell ref="AQ1:BJ1"/>
    <mergeCell ref="C2:G2"/>
    <mergeCell ref="H2:L2"/>
    <mergeCell ref="M2:Q2"/>
    <mergeCell ref="R2:V2"/>
    <mergeCell ref="W2:AA2"/>
    <mergeCell ref="BA2:BE2"/>
    <mergeCell ref="BF2:BJ2"/>
    <mergeCell ref="AB2:AF2"/>
    <mergeCell ref="AG2:AK2"/>
    <mergeCell ref="AL2:AP2"/>
    <mergeCell ref="AQ2:AU2"/>
    <mergeCell ref="AV2:AZ2"/>
  </mergeCells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S64"/>
  <sheetViews>
    <sheetView zoomScale="80" zoomScaleNormal="80" zoomScalePageLayoutView="80" workbookViewId="0">
      <pane xSplit="2" ySplit="12" topLeftCell="C52" activePane="bottomRight" state="frozen"/>
      <selection pane="topRight" activeCell="C1" sqref="C1"/>
      <selection pane="bottomLeft" activeCell="A5" sqref="A5"/>
      <selection pane="bottomRight" activeCell="A61" sqref="A61"/>
    </sheetView>
  </sheetViews>
  <sheetFormatPr baseColWidth="10" defaultColWidth="8.625" defaultRowHeight="15"/>
  <cols>
    <col min="1" max="1" width="64.625" bestFit="1" customWidth="1"/>
    <col min="2" max="2" width="12.25" style="58" customWidth="1"/>
    <col min="3" max="4" width="12.25" style="60" customWidth="1"/>
    <col min="5" max="5" width="12.25" style="76" customWidth="1"/>
    <col min="6" max="45" width="12.25" style="60" customWidth="1"/>
  </cols>
  <sheetData>
    <row r="1" spans="1:45" s="44" customFormat="1">
      <c r="A1" s="45" t="s">
        <v>99</v>
      </c>
      <c r="B1" s="46"/>
      <c r="C1" s="47"/>
      <c r="D1" s="47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</row>
    <row r="2" spans="1:45" s="44" customFormat="1">
      <c r="A2" s="49" t="s">
        <v>100</v>
      </c>
      <c r="B2" s="50"/>
      <c r="C2" s="47"/>
      <c r="D2" s="47"/>
      <c r="E2" s="47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</row>
    <row r="3" spans="1:45" s="44" customFormat="1">
      <c r="A3" s="51" t="s">
        <v>111</v>
      </c>
      <c r="B3" s="77">
        <v>5</v>
      </c>
      <c r="C3" s="47"/>
      <c r="D3" s="47"/>
      <c r="E3" s="47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5" s="44" customFormat="1">
      <c r="A4" s="51" t="s">
        <v>101</v>
      </c>
      <c r="B4" s="52">
        <v>4</v>
      </c>
      <c r="C4" s="47"/>
      <c r="D4" s="47"/>
      <c r="E4" s="47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</row>
    <row r="5" spans="1:45" s="44" customFormat="1">
      <c r="A5" s="51" t="s">
        <v>102</v>
      </c>
      <c r="B5" s="52">
        <v>3</v>
      </c>
      <c r="C5" s="47"/>
      <c r="D5" s="47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</row>
    <row r="6" spans="1:45" s="44" customFormat="1">
      <c r="A6" s="51" t="s">
        <v>110</v>
      </c>
      <c r="B6" s="52">
        <v>2</v>
      </c>
      <c r="C6" s="47"/>
      <c r="D6" s="47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</row>
    <row r="7" spans="1:45" s="44" customFormat="1">
      <c r="A7" s="53" t="s">
        <v>103</v>
      </c>
      <c r="B7" s="54">
        <v>0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</row>
    <row r="8" spans="1:45" s="44" customFormat="1">
      <c r="A8" s="55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</row>
    <row r="9" spans="1:45" s="44" customFormat="1">
      <c r="A9" s="56"/>
      <c r="C9" s="167" t="s">
        <v>104</v>
      </c>
      <c r="D9" s="168"/>
      <c r="E9" s="168"/>
      <c r="F9" s="168"/>
      <c r="G9" s="168"/>
      <c r="H9" s="168"/>
      <c r="I9" s="168"/>
      <c r="J9" s="168"/>
      <c r="K9" s="169" t="s">
        <v>105</v>
      </c>
      <c r="L9" s="169"/>
      <c r="M9" s="169"/>
      <c r="N9" s="169"/>
      <c r="O9" s="169"/>
      <c r="P9" s="169"/>
      <c r="Q9" s="169"/>
      <c r="R9" s="169"/>
      <c r="S9" s="169"/>
      <c r="T9" s="169"/>
      <c r="U9" s="57" t="s">
        <v>106</v>
      </c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</row>
    <row r="10" spans="1:45" s="44" customFormat="1">
      <c r="A10" s="55"/>
      <c r="C10" s="48">
        <f>thirtyminutes</f>
        <v>2</v>
      </c>
      <c r="D10" s="48">
        <f>C10+1</f>
        <v>3</v>
      </c>
      <c r="E10" s="48">
        <f t="shared" ref="E10:AS10" si="0">D10+1</f>
        <v>4</v>
      </c>
      <c r="F10" s="48">
        <f t="shared" si="0"/>
        <v>5</v>
      </c>
      <c r="G10" s="48">
        <f t="shared" si="0"/>
        <v>6</v>
      </c>
      <c r="H10" s="48">
        <f t="shared" si="0"/>
        <v>7</v>
      </c>
      <c r="I10" s="48">
        <f t="shared" si="0"/>
        <v>8</v>
      </c>
      <c r="J10" s="48">
        <f t="shared" si="0"/>
        <v>9</v>
      </c>
      <c r="K10" s="48">
        <f t="shared" si="0"/>
        <v>10</v>
      </c>
      <c r="L10" s="48">
        <f t="shared" si="0"/>
        <v>11</v>
      </c>
      <c r="M10" s="48">
        <f t="shared" si="0"/>
        <v>12</v>
      </c>
      <c r="N10" s="48">
        <f t="shared" si="0"/>
        <v>13</v>
      </c>
      <c r="O10" s="48">
        <f t="shared" si="0"/>
        <v>14</v>
      </c>
      <c r="P10" s="48">
        <f t="shared" si="0"/>
        <v>15</v>
      </c>
      <c r="Q10" s="48">
        <f t="shared" si="0"/>
        <v>16</v>
      </c>
      <c r="R10" s="48">
        <f t="shared" si="0"/>
        <v>17</v>
      </c>
      <c r="S10" s="48">
        <f t="shared" si="0"/>
        <v>18</v>
      </c>
      <c r="T10" s="48">
        <f t="shared" si="0"/>
        <v>19</v>
      </c>
      <c r="U10" s="48">
        <f t="shared" si="0"/>
        <v>20</v>
      </c>
      <c r="V10" s="48">
        <f t="shared" si="0"/>
        <v>21</v>
      </c>
      <c r="W10" s="48">
        <f t="shared" si="0"/>
        <v>22</v>
      </c>
      <c r="X10" s="48">
        <f t="shared" si="0"/>
        <v>23</v>
      </c>
      <c r="Y10" s="48">
        <f t="shared" si="0"/>
        <v>24</v>
      </c>
      <c r="Z10" s="48">
        <f t="shared" si="0"/>
        <v>25</v>
      </c>
      <c r="AA10" s="48">
        <f t="shared" si="0"/>
        <v>26</v>
      </c>
      <c r="AB10" s="48">
        <f t="shared" si="0"/>
        <v>27</v>
      </c>
      <c r="AC10" s="48">
        <f t="shared" si="0"/>
        <v>28</v>
      </c>
      <c r="AD10" s="48">
        <f t="shared" si="0"/>
        <v>29</v>
      </c>
      <c r="AE10" s="48">
        <f t="shared" si="0"/>
        <v>30</v>
      </c>
      <c r="AF10" s="48">
        <f t="shared" si="0"/>
        <v>31</v>
      </c>
      <c r="AG10" s="48">
        <f t="shared" si="0"/>
        <v>32</v>
      </c>
      <c r="AH10" s="48">
        <f t="shared" si="0"/>
        <v>33</v>
      </c>
      <c r="AI10" s="48">
        <f t="shared" si="0"/>
        <v>34</v>
      </c>
      <c r="AJ10" s="48">
        <f t="shared" si="0"/>
        <v>35</v>
      </c>
      <c r="AK10" s="48">
        <f t="shared" si="0"/>
        <v>36</v>
      </c>
      <c r="AL10" s="48">
        <f t="shared" si="0"/>
        <v>37</v>
      </c>
      <c r="AM10" s="48">
        <f t="shared" si="0"/>
        <v>38</v>
      </c>
      <c r="AN10" s="48">
        <f t="shared" si="0"/>
        <v>39</v>
      </c>
      <c r="AO10" s="48">
        <f t="shared" si="0"/>
        <v>40</v>
      </c>
      <c r="AP10" s="48">
        <f t="shared" si="0"/>
        <v>41</v>
      </c>
      <c r="AQ10" s="48">
        <f t="shared" si="0"/>
        <v>42</v>
      </c>
      <c r="AR10" s="48">
        <f t="shared" si="0"/>
        <v>43</v>
      </c>
      <c r="AS10" s="48">
        <f t="shared" si="0"/>
        <v>44</v>
      </c>
    </row>
    <row r="11" spans="1:45">
      <c r="C11" s="59" t="s">
        <v>109</v>
      </c>
      <c r="E11" s="60"/>
    </row>
    <row r="12" spans="1:45" ht="30">
      <c r="B12" s="61"/>
      <c r="C12" s="62" t="s">
        <v>156</v>
      </c>
      <c r="D12" s="62" t="s">
        <v>6</v>
      </c>
      <c r="E12" s="62" t="s">
        <v>54</v>
      </c>
      <c r="F12" s="62" t="s">
        <v>56</v>
      </c>
      <c r="G12" s="62" t="s">
        <v>57</v>
      </c>
      <c r="H12" s="62" t="s">
        <v>5</v>
      </c>
      <c r="I12" s="62" t="s">
        <v>59</v>
      </c>
      <c r="J12" s="62" t="s">
        <v>4</v>
      </c>
      <c r="K12" s="63" t="s">
        <v>53</v>
      </c>
      <c r="L12" s="63" t="s">
        <v>11</v>
      </c>
      <c r="M12" s="63" t="s">
        <v>12</v>
      </c>
      <c r="N12" s="63" t="s">
        <v>78</v>
      </c>
      <c r="O12" s="63" t="s">
        <v>108</v>
      </c>
      <c r="P12" s="63" t="s">
        <v>10</v>
      </c>
      <c r="Q12" s="63" t="s">
        <v>9</v>
      </c>
      <c r="R12" s="63" t="s">
        <v>58</v>
      </c>
      <c r="S12" s="63" t="s">
        <v>3</v>
      </c>
      <c r="T12" s="63" t="s">
        <v>7</v>
      </c>
      <c r="U12" s="63" t="s">
        <v>8</v>
      </c>
      <c r="V12" s="64" t="s">
        <v>60</v>
      </c>
      <c r="W12" s="64" t="s">
        <v>158</v>
      </c>
      <c r="X12" s="65" t="s">
        <v>2</v>
      </c>
      <c r="Y12" s="65" t="s">
        <v>1</v>
      </c>
      <c r="Z12" s="65" t="s">
        <v>61</v>
      </c>
      <c r="AA12" s="65" t="s">
        <v>0</v>
      </c>
      <c r="AB12" s="65" t="s">
        <v>159</v>
      </c>
      <c r="AC12" s="66" t="s">
        <v>155</v>
      </c>
      <c r="AD12" s="66" t="s">
        <v>62</v>
      </c>
      <c r="AE12" s="66" t="s">
        <v>157</v>
      </c>
      <c r="AF12" s="67" t="s">
        <v>65</v>
      </c>
      <c r="AG12" s="67" t="s">
        <v>153</v>
      </c>
      <c r="AH12" s="67" t="s">
        <v>66</v>
      </c>
      <c r="AI12" s="67" t="s">
        <v>152</v>
      </c>
      <c r="AJ12" s="68" t="s">
        <v>154</v>
      </c>
      <c r="AK12" s="68" t="s">
        <v>67</v>
      </c>
      <c r="AL12" s="68" t="s">
        <v>68</v>
      </c>
      <c r="AM12" s="69" t="s">
        <v>69</v>
      </c>
      <c r="AN12" s="69" t="s">
        <v>151</v>
      </c>
      <c r="AO12" s="69" t="s">
        <v>149</v>
      </c>
      <c r="AP12" s="69" t="s">
        <v>147</v>
      </c>
      <c r="AQ12" s="69" t="s">
        <v>150</v>
      </c>
      <c r="AR12" s="69" t="s">
        <v>148</v>
      </c>
      <c r="AS12" s="69" t="s">
        <v>71</v>
      </c>
    </row>
    <row r="13" spans="1:45">
      <c r="A13" s="70" t="s">
        <v>107</v>
      </c>
      <c r="B13" s="62" t="s">
        <v>156</v>
      </c>
      <c r="C13" s="71">
        <f>Same</f>
        <v>5</v>
      </c>
      <c r="D13" s="72">
        <f>twentyminutes</f>
        <v>3</v>
      </c>
      <c r="E13" s="72">
        <f t="shared" ref="E13:G14" si="1">TenMinutes</f>
        <v>4</v>
      </c>
      <c r="F13" s="72">
        <f t="shared" si="1"/>
        <v>4</v>
      </c>
      <c r="G13" s="72">
        <f t="shared" si="1"/>
        <v>4</v>
      </c>
      <c r="H13" s="72">
        <f>twentyminutes</f>
        <v>3</v>
      </c>
      <c r="I13" s="72">
        <f>twentyminutes</f>
        <v>3</v>
      </c>
      <c r="J13" s="72">
        <f>TenMinutes</f>
        <v>4</v>
      </c>
      <c r="K13" s="72">
        <f>twentyminutes</f>
        <v>3</v>
      </c>
      <c r="L13" s="72">
        <f>twentyminutes</f>
        <v>3</v>
      </c>
      <c r="M13" s="72">
        <f>thirtyminutes</f>
        <v>2</v>
      </c>
      <c r="N13" s="72">
        <f>thirtyminutes</f>
        <v>2</v>
      </c>
      <c r="O13" s="72">
        <f>thirtyminutes</f>
        <v>2</v>
      </c>
      <c r="P13" s="72">
        <f>twentyminutes</f>
        <v>3</v>
      </c>
      <c r="Q13" s="72">
        <f>twentyminutes</f>
        <v>3</v>
      </c>
      <c r="R13" s="72">
        <f>twentyminutes</f>
        <v>3</v>
      </c>
      <c r="S13" s="72">
        <f>twentyminutes</f>
        <v>3</v>
      </c>
      <c r="T13" s="72">
        <f>twentyminutes</f>
        <v>3</v>
      </c>
      <c r="U13" s="72">
        <f>thirtyminutes</f>
        <v>2</v>
      </c>
      <c r="V13" s="72">
        <f>twentyminutes</f>
        <v>3</v>
      </c>
      <c r="W13" s="72">
        <f>twentyminutes</f>
        <v>3</v>
      </c>
      <c r="X13" s="72">
        <f>twentyminutes</f>
        <v>3</v>
      </c>
      <c r="Y13" s="72">
        <f>twentyminutes</f>
        <v>3</v>
      </c>
      <c r="Z13" s="72">
        <f>thirtyminutes</f>
        <v>2</v>
      </c>
      <c r="AA13" s="72">
        <f>twentyminutes</f>
        <v>3</v>
      </c>
      <c r="AB13" s="72">
        <f>TenMinutes</f>
        <v>4</v>
      </c>
      <c r="AC13" s="72">
        <f>TenMinutes</f>
        <v>4</v>
      </c>
      <c r="AD13" s="72">
        <f>TenMinutes</f>
        <v>4</v>
      </c>
      <c r="AE13" s="72">
        <f>TenMinutes</f>
        <v>4</v>
      </c>
      <c r="AF13" s="72">
        <f>thirtyminutes</f>
        <v>2</v>
      </c>
      <c r="AG13" s="72">
        <f>thirtyminutes</f>
        <v>2</v>
      </c>
      <c r="AH13" s="72">
        <f>thirtyminutes</f>
        <v>2</v>
      </c>
      <c r="AI13" s="72">
        <f>thirtyminutes</f>
        <v>2</v>
      </c>
      <c r="AJ13" s="72">
        <f>twentyminutes</f>
        <v>3</v>
      </c>
      <c r="AK13" s="72">
        <f>twentyminutes</f>
        <v>3</v>
      </c>
      <c r="AL13" s="72">
        <f>twentyminutes</f>
        <v>3</v>
      </c>
      <c r="AM13" s="72">
        <f>Other</f>
        <v>0</v>
      </c>
      <c r="AN13" s="72">
        <f>Other</f>
        <v>0</v>
      </c>
      <c r="AO13" s="72">
        <f>Other</f>
        <v>0</v>
      </c>
      <c r="AP13" s="72">
        <f>Other</f>
        <v>0</v>
      </c>
      <c r="AQ13" s="72">
        <f>thirtyminutes</f>
        <v>2</v>
      </c>
      <c r="AR13" s="72">
        <f t="shared" ref="AR13:AR30" si="2">Other</f>
        <v>0</v>
      </c>
      <c r="AS13" s="72">
        <f>thirtyminutes</f>
        <v>2</v>
      </c>
    </row>
    <row r="14" spans="1:45">
      <c r="B14" s="62" t="s">
        <v>6</v>
      </c>
      <c r="C14" s="72">
        <f>twentyminutes</f>
        <v>3</v>
      </c>
      <c r="D14" s="71">
        <f>Same</f>
        <v>5</v>
      </c>
      <c r="E14" s="72">
        <f t="shared" si="1"/>
        <v>4</v>
      </c>
      <c r="F14" s="72">
        <f t="shared" si="1"/>
        <v>4</v>
      </c>
      <c r="G14" s="72">
        <f t="shared" si="1"/>
        <v>4</v>
      </c>
      <c r="H14" s="72">
        <f t="shared" ref="H14:I17" si="3">TenMinutes</f>
        <v>4</v>
      </c>
      <c r="I14" s="72">
        <f t="shared" si="3"/>
        <v>4</v>
      </c>
      <c r="J14" s="72">
        <f>twentyminutes</f>
        <v>3</v>
      </c>
      <c r="K14" s="72">
        <f>twentyminutes</f>
        <v>3</v>
      </c>
      <c r="L14" s="72">
        <f>TenMinutes</f>
        <v>4</v>
      </c>
      <c r="M14" s="72">
        <f>TenMinutes</f>
        <v>4</v>
      </c>
      <c r="N14" s="72">
        <f t="shared" ref="N14:O17" si="4">twentyminutes</f>
        <v>3</v>
      </c>
      <c r="O14" s="72">
        <f t="shared" si="4"/>
        <v>3</v>
      </c>
      <c r="P14" s="72">
        <f>TenMinutes</f>
        <v>4</v>
      </c>
      <c r="Q14" s="72">
        <f>TenMinutes</f>
        <v>4</v>
      </c>
      <c r="R14" s="72">
        <f>TenMinutes</f>
        <v>4</v>
      </c>
      <c r="S14" s="72">
        <f>TenMinutes</f>
        <v>4</v>
      </c>
      <c r="T14" s="72">
        <f>twentyminutes</f>
        <v>3</v>
      </c>
      <c r="U14" s="72">
        <f>TenMinutes</f>
        <v>4</v>
      </c>
      <c r="V14" s="72">
        <f t="shared" ref="V14:W18" si="5">twentyminutes</f>
        <v>3</v>
      </c>
      <c r="W14" s="72">
        <f t="shared" si="5"/>
        <v>3</v>
      </c>
      <c r="X14" s="72">
        <f t="shared" ref="X14:Y19" si="6">TenMinutes</f>
        <v>4</v>
      </c>
      <c r="Y14" s="72">
        <f t="shared" si="6"/>
        <v>4</v>
      </c>
      <c r="Z14" s="72">
        <f>twentyminutes</f>
        <v>3</v>
      </c>
      <c r="AA14" s="72">
        <f>twentyminutes</f>
        <v>3</v>
      </c>
      <c r="AB14" s="72">
        <f>twentyminutes</f>
        <v>3</v>
      </c>
      <c r="AC14" s="72">
        <f>thirtyminutes</f>
        <v>2</v>
      </c>
      <c r="AD14" s="72">
        <f>twentyminutes</f>
        <v>3</v>
      </c>
      <c r="AE14" s="72">
        <f>thirtyminutes</f>
        <v>2</v>
      </c>
      <c r="AF14" s="72">
        <f>thirtyminutes</f>
        <v>2</v>
      </c>
      <c r="AG14" s="72">
        <f t="shared" ref="AG14:AG20" si="7">twentyminutes</f>
        <v>3</v>
      </c>
      <c r="AH14" s="72">
        <f>thirtyminutes</f>
        <v>2</v>
      </c>
      <c r="AI14" s="72">
        <f>thirtyminutes</f>
        <v>2</v>
      </c>
      <c r="AJ14" s="72">
        <f>Other</f>
        <v>0</v>
      </c>
      <c r="AK14" s="72">
        <f>Other</f>
        <v>0</v>
      </c>
      <c r="AL14" s="72">
        <f>Other</f>
        <v>0</v>
      </c>
      <c r="AM14" s="72">
        <f>Other</f>
        <v>0</v>
      </c>
      <c r="AN14" s="72">
        <f>thirtyminutes</f>
        <v>2</v>
      </c>
      <c r="AO14" s="72">
        <f t="shared" ref="AO14:AQ19" si="8">Other</f>
        <v>0</v>
      </c>
      <c r="AP14" s="72">
        <f t="shared" si="8"/>
        <v>0</v>
      </c>
      <c r="AQ14" s="72">
        <f t="shared" si="8"/>
        <v>0</v>
      </c>
      <c r="AR14" s="72">
        <f t="shared" si="2"/>
        <v>0</v>
      </c>
      <c r="AS14" s="72">
        <f t="shared" ref="AS14:AS19" si="9">Other</f>
        <v>0</v>
      </c>
    </row>
    <row r="15" spans="1:45">
      <c r="B15" s="62" t="s">
        <v>54</v>
      </c>
      <c r="C15" s="72">
        <f t="shared" ref="C15:D17" si="10">TenMinutes</f>
        <v>4</v>
      </c>
      <c r="D15" s="72">
        <f t="shared" si="10"/>
        <v>4</v>
      </c>
      <c r="E15" s="71">
        <f>Same</f>
        <v>5</v>
      </c>
      <c r="F15" s="72">
        <f>TenMinutes</f>
        <v>4</v>
      </c>
      <c r="G15" s="72">
        <f>TenMinutes</f>
        <v>4</v>
      </c>
      <c r="H15" s="72">
        <f t="shared" si="3"/>
        <v>4</v>
      </c>
      <c r="I15" s="72">
        <f t="shared" si="3"/>
        <v>4</v>
      </c>
      <c r="J15" s="72">
        <f>TenMinutes</f>
        <v>4</v>
      </c>
      <c r="K15" s="72">
        <f>twentyminutes</f>
        <v>3</v>
      </c>
      <c r="L15" s="73">
        <f>twentyminutes</f>
        <v>3</v>
      </c>
      <c r="M15" s="73">
        <f>twentyminutes</f>
        <v>3</v>
      </c>
      <c r="N15" s="73">
        <f t="shared" si="4"/>
        <v>3</v>
      </c>
      <c r="O15" s="73">
        <f t="shared" si="4"/>
        <v>3</v>
      </c>
      <c r="P15" s="73">
        <f>twentyminutes</f>
        <v>3</v>
      </c>
      <c r="Q15" s="73">
        <f>twentyminutes</f>
        <v>3</v>
      </c>
      <c r="R15" s="73">
        <f>twentyminutes</f>
        <v>3</v>
      </c>
      <c r="S15" s="73">
        <f>twentyminutes</f>
        <v>3</v>
      </c>
      <c r="T15" s="73">
        <f>twentyminutes</f>
        <v>3</v>
      </c>
      <c r="U15" s="73">
        <f>twentyminutes</f>
        <v>3</v>
      </c>
      <c r="V15" s="73">
        <f t="shared" si="5"/>
        <v>3</v>
      </c>
      <c r="W15" s="73">
        <f t="shared" si="5"/>
        <v>3</v>
      </c>
      <c r="X15" s="73">
        <f t="shared" si="6"/>
        <v>4</v>
      </c>
      <c r="Y15" s="73">
        <f t="shared" si="6"/>
        <v>4</v>
      </c>
      <c r="Z15" s="73">
        <f t="shared" ref="Z15:AE15" si="11">TenMinutes</f>
        <v>4</v>
      </c>
      <c r="AA15" s="73">
        <f t="shared" si="11"/>
        <v>4</v>
      </c>
      <c r="AB15" s="73">
        <f t="shared" si="11"/>
        <v>4</v>
      </c>
      <c r="AC15" s="73">
        <f t="shared" si="11"/>
        <v>4</v>
      </c>
      <c r="AD15" s="73">
        <f t="shared" si="11"/>
        <v>4</v>
      </c>
      <c r="AE15" s="74">
        <f t="shared" si="11"/>
        <v>4</v>
      </c>
      <c r="AF15" s="74">
        <f>twentyminutes</f>
        <v>3</v>
      </c>
      <c r="AG15" s="74">
        <f t="shared" si="7"/>
        <v>3</v>
      </c>
      <c r="AH15" s="74">
        <f>twentyminutes</f>
        <v>3</v>
      </c>
      <c r="AI15" s="74">
        <f>twentyminutes</f>
        <v>3</v>
      </c>
      <c r="AJ15" s="74">
        <f>twentyminutes</f>
        <v>3</v>
      </c>
      <c r="AK15" s="74">
        <f>thirtyminutes</f>
        <v>2</v>
      </c>
      <c r="AL15" s="74">
        <f>twentyminutes</f>
        <v>3</v>
      </c>
      <c r="AM15" s="74">
        <f>Other</f>
        <v>0</v>
      </c>
      <c r="AN15" s="74">
        <f>thirtyminutes</f>
        <v>2</v>
      </c>
      <c r="AO15" s="74">
        <f t="shared" si="8"/>
        <v>0</v>
      </c>
      <c r="AP15" s="74">
        <f t="shared" si="8"/>
        <v>0</v>
      </c>
      <c r="AQ15" s="74">
        <f t="shared" si="8"/>
        <v>0</v>
      </c>
      <c r="AR15" s="74">
        <f t="shared" si="2"/>
        <v>0</v>
      </c>
      <c r="AS15" s="74">
        <f t="shared" si="9"/>
        <v>0</v>
      </c>
    </row>
    <row r="16" spans="1:45">
      <c r="B16" s="62" t="s">
        <v>56</v>
      </c>
      <c r="C16" s="72">
        <f t="shared" si="10"/>
        <v>4</v>
      </c>
      <c r="D16" s="72">
        <f t="shared" si="10"/>
        <v>4</v>
      </c>
      <c r="E16" s="72">
        <f>TenMinutes</f>
        <v>4</v>
      </c>
      <c r="F16" s="71">
        <f>Same</f>
        <v>5</v>
      </c>
      <c r="G16" s="72">
        <f>TenMinutes</f>
        <v>4</v>
      </c>
      <c r="H16" s="72">
        <f t="shared" si="3"/>
        <v>4</v>
      </c>
      <c r="I16" s="72">
        <f t="shared" si="3"/>
        <v>4</v>
      </c>
      <c r="J16" s="72">
        <f>twentyminutes</f>
        <v>3</v>
      </c>
      <c r="K16" s="72">
        <f>twentyminutes</f>
        <v>3</v>
      </c>
      <c r="L16" s="72">
        <f>TenMinutes</f>
        <v>4</v>
      </c>
      <c r="M16" s="72">
        <f>twentyminutes</f>
        <v>3</v>
      </c>
      <c r="N16" s="72">
        <f t="shared" si="4"/>
        <v>3</v>
      </c>
      <c r="O16" s="72">
        <f t="shared" si="4"/>
        <v>3</v>
      </c>
      <c r="P16" s="72">
        <f t="shared" ref="P16:R19" si="12">TenMinutes</f>
        <v>4</v>
      </c>
      <c r="Q16" s="72">
        <f t="shared" si="12"/>
        <v>4</v>
      </c>
      <c r="R16" s="72">
        <f t="shared" si="12"/>
        <v>4</v>
      </c>
      <c r="S16" s="72">
        <f>twentyminutes</f>
        <v>3</v>
      </c>
      <c r="T16" s="72">
        <f>twentyminutes</f>
        <v>3</v>
      </c>
      <c r="U16" s="72">
        <f>twentyminutes</f>
        <v>3</v>
      </c>
      <c r="V16" s="72">
        <f t="shared" si="5"/>
        <v>3</v>
      </c>
      <c r="W16" s="72">
        <f t="shared" si="5"/>
        <v>3</v>
      </c>
      <c r="X16" s="72">
        <f t="shared" si="6"/>
        <v>4</v>
      </c>
      <c r="Y16" s="72">
        <f t="shared" si="6"/>
        <v>4</v>
      </c>
      <c r="Z16" s="72">
        <f>twentyminutes</f>
        <v>3</v>
      </c>
      <c r="AA16" s="72">
        <f>TenMinutes</f>
        <v>4</v>
      </c>
      <c r="AB16" s="72">
        <f>TenMinutes</f>
        <v>4</v>
      </c>
      <c r="AC16" s="72">
        <f t="shared" ref="AC16:AE19" si="13">twentyminutes</f>
        <v>3</v>
      </c>
      <c r="AD16" s="72">
        <f t="shared" si="13"/>
        <v>3</v>
      </c>
      <c r="AE16" s="72">
        <f t="shared" si="13"/>
        <v>3</v>
      </c>
      <c r="AF16" s="72">
        <f>twentyminutes</f>
        <v>3</v>
      </c>
      <c r="AG16" s="72">
        <f t="shared" si="7"/>
        <v>3</v>
      </c>
      <c r="AH16" s="72">
        <f>twentyminutes</f>
        <v>3</v>
      </c>
      <c r="AI16" s="72">
        <f>twentyminutes</f>
        <v>3</v>
      </c>
      <c r="AJ16" s="72">
        <f>thirtyminutes</f>
        <v>2</v>
      </c>
      <c r="AK16" s="72">
        <f>Other</f>
        <v>0</v>
      </c>
      <c r="AL16" s="72">
        <f>thirtyminutes</f>
        <v>2</v>
      </c>
      <c r="AM16" s="72">
        <f>thirtyminutes</f>
        <v>2</v>
      </c>
      <c r="AN16" s="72">
        <f>thirtyminutes</f>
        <v>2</v>
      </c>
      <c r="AO16" s="72">
        <f t="shared" si="8"/>
        <v>0</v>
      </c>
      <c r="AP16" s="72">
        <f t="shared" si="8"/>
        <v>0</v>
      </c>
      <c r="AQ16" s="72">
        <f t="shared" si="8"/>
        <v>0</v>
      </c>
      <c r="AR16" s="72">
        <f t="shared" si="2"/>
        <v>0</v>
      </c>
      <c r="AS16" s="72">
        <f t="shared" si="9"/>
        <v>0</v>
      </c>
    </row>
    <row r="17" spans="2:45" ht="30">
      <c r="B17" s="62" t="s">
        <v>57</v>
      </c>
      <c r="C17" s="72">
        <f t="shared" si="10"/>
        <v>4</v>
      </c>
      <c r="D17" s="72">
        <f t="shared" si="10"/>
        <v>4</v>
      </c>
      <c r="E17" s="72">
        <f>TenMinutes</f>
        <v>4</v>
      </c>
      <c r="F17" s="72">
        <f>TenMinutes</f>
        <v>4</v>
      </c>
      <c r="G17" s="71">
        <f>Same</f>
        <v>5</v>
      </c>
      <c r="H17" s="72">
        <f t="shared" si="3"/>
        <v>4</v>
      </c>
      <c r="I17" s="72">
        <f t="shared" si="3"/>
        <v>4</v>
      </c>
      <c r="J17" s="72">
        <f>TenMinutes</f>
        <v>4</v>
      </c>
      <c r="K17" s="72">
        <f>TenMinutes</f>
        <v>4</v>
      </c>
      <c r="L17" s="72">
        <f>TenMinutes</f>
        <v>4</v>
      </c>
      <c r="M17" s="72">
        <f>TenMinutes</f>
        <v>4</v>
      </c>
      <c r="N17" s="72">
        <f t="shared" si="4"/>
        <v>3</v>
      </c>
      <c r="O17" s="72">
        <f t="shared" si="4"/>
        <v>3</v>
      </c>
      <c r="P17" s="72">
        <f t="shared" si="12"/>
        <v>4</v>
      </c>
      <c r="Q17" s="72">
        <f t="shared" si="12"/>
        <v>4</v>
      </c>
      <c r="R17" s="72">
        <f t="shared" si="12"/>
        <v>4</v>
      </c>
      <c r="S17" s="72">
        <f>TenMinutes</f>
        <v>4</v>
      </c>
      <c r="T17" s="72">
        <f>TenMinutes</f>
        <v>4</v>
      </c>
      <c r="U17" s="72">
        <f>twentyminutes</f>
        <v>3</v>
      </c>
      <c r="V17" s="72">
        <f t="shared" si="5"/>
        <v>3</v>
      </c>
      <c r="W17" s="72">
        <f t="shared" si="5"/>
        <v>3</v>
      </c>
      <c r="X17" s="72">
        <f t="shared" si="6"/>
        <v>4</v>
      </c>
      <c r="Y17" s="72">
        <f t="shared" si="6"/>
        <v>4</v>
      </c>
      <c r="Z17" s="72">
        <f>twentyminutes</f>
        <v>3</v>
      </c>
      <c r="AA17" s="72">
        <f>twentyminutes</f>
        <v>3</v>
      </c>
      <c r="AB17" s="72">
        <f>TenMinutes</f>
        <v>4</v>
      </c>
      <c r="AC17" s="72">
        <f t="shared" si="13"/>
        <v>3</v>
      </c>
      <c r="AD17" s="72">
        <f t="shared" si="13"/>
        <v>3</v>
      </c>
      <c r="AE17" s="72">
        <f t="shared" si="13"/>
        <v>3</v>
      </c>
      <c r="AF17" s="72">
        <f>thirtyminutes</f>
        <v>2</v>
      </c>
      <c r="AG17" s="72">
        <f t="shared" si="7"/>
        <v>3</v>
      </c>
      <c r="AH17" s="72">
        <f>thirtyminutes</f>
        <v>2</v>
      </c>
      <c r="AI17" s="72">
        <f>thirtyminutes</f>
        <v>2</v>
      </c>
      <c r="AJ17" s="72">
        <f>thirtyminutes</f>
        <v>2</v>
      </c>
      <c r="AK17" s="72">
        <f t="shared" ref="AK17:AL19" si="14">thirtyminutes</f>
        <v>2</v>
      </c>
      <c r="AL17" s="72">
        <f t="shared" si="14"/>
        <v>2</v>
      </c>
      <c r="AM17" s="72">
        <f>Other</f>
        <v>0</v>
      </c>
      <c r="AN17" s="72">
        <f>Other</f>
        <v>0</v>
      </c>
      <c r="AO17" s="72">
        <f t="shared" si="8"/>
        <v>0</v>
      </c>
      <c r="AP17" s="72">
        <f t="shared" si="8"/>
        <v>0</v>
      </c>
      <c r="AQ17" s="72">
        <f t="shared" si="8"/>
        <v>0</v>
      </c>
      <c r="AR17" s="72">
        <f t="shared" si="2"/>
        <v>0</v>
      </c>
      <c r="AS17" s="72">
        <f t="shared" si="9"/>
        <v>0</v>
      </c>
    </row>
    <row r="18" spans="2:45">
      <c r="B18" s="62" t="s">
        <v>5</v>
      </c>
      <c r="C18" s="72">
        <f>twentyminutes</f>
        <v>3</v>
      </c>
      <c r="D18" s="72">
        <f>TenMinutes</f>
        <v>4</v>
      </c>
      <c r="E18" s="72">
        <f>TenMinutes</f>
        <v>4</v>
      </c>
      <c r="F18" s="72">
        <f>TenMinutes</f>
        <v>4</v>
      </c>
      <c r="G18" s="72">
        <f t="shared" ref="G18:G23" si="15">TenMinutes</f>
        <v>4</v>
      </c>
      <c r="H18" s="71">
        <f>Same</f>
        <v>5</v>
      </c>
      <c r="I18" s="72">
        <f>TenMinutes</f>
        <v>4</v>
      </c>
      <c r="J18" s="72">
        <f>TenMinutes</f>
        <v>4</v>
      </c>
      <c r="K18" s="72">
        <f>TenMinutes</f>
        <v>4</v>
      </c>
      <c r="L18" s="72">
        <f>TenMinutes</f>
        <v>4</v>
      </c>
      <c r="M18" s="72">
        <f>TenMinutes</f>
        <v>4</v>
      </c>
      <c r="N18" s="72">
        <f>twentyminutes</f>
        <v>3</v>
      </c>
      <c r="O18" s="72">
        <f>TenMinutes</f>
        <v>4</v>
      </c>
      <c r="P18" s="72">
        <f t="shared" si="12"/>
        <v>4</v>
      </c>
      <c r="Q18" s="72">
        <f t="shared" si="12"/>
        <v>4</v>
      </c>
      <c r="R18" s="72">
        <f t="shared" si="12"/>
        <v>4</v>
      </c>
      <c r="S18" s="72">
        <f>TenMinutes</f>
        <v>4</v>
      </c>
      <c r="T18" s="72">
        <f>TenMinutes</f>
        <v>4</v>
      </c>
      <c r="U18" s="72">
        <f>TenMinutes</f>
        <v>4</v>
      </c>
      <c r="V18" s="72">
        <f t="shared" si="5"/>
        <v>3</v>
      </c>
      <c r="W18" s="72">
        <f t="shared" si="5"/>
        <v>3</v>
      </c>
      <c r="X18" s="72">
        <f t="shared" si="6"/>
        <v>4</v>
      </c>
      <c r="Y18" s="72">
        <f t="shared" si="6"/>
        <v>4</v>
      </c>
      <c r="Z18" s="72">
        <f>twentyminutes</f>
        <v>3</v>
      </c>
      <c r="AA18" s="72">
        <f>TenMinutes</f>
        <v>4</v>
      </c>
      <c r="AB18" s="72">
        <f>TenMinutes</f>
        <v>4</v>
      </c>
      <c r="AC18" s="72">
        <f t="shared" si="13"/>
        <v>3</v>
      </c>
      <c r="AD18" s="72">
        <f t="shared" si="13"/>
        <v>3</v>
      </c>
      <c r="AE18" s="72">
        <f t="shared" si="13"/>
        <v>3</v>
      </c>
      <c r="AF18" s="72">
        <f>thirtyminutes</f>
        <v>2</v>
      </c>
      <c r="AG18" s="72">
        <f t="shared" si="7"/>
        <v>3</v>
      </c>
      <c r="AH18" s="72">
        <f>twentyminutes</f>
        <v>3</v>
      </c>
      <c r="AI18" s="72">
        <f>thirtyminutes</f>
        <v>2</v>
      </c>
      <c r="AJ18" s="72">
        <f>twentyminutes</f>
        <v>3</v>
      </c>
      <c r="AK18" s="72">
        <f t="shared" si="14"/>
        <v>2</v>
      </c>
      <c r="AL18" s="72">
        <f t="shared" si="14"/>
        <v>2</v>
      </c>
      <c r="AM18" s="72">
        <f t="shared" ref="AM18:AM30" si="16">Other</f>
        <v>0</v>
      </c>
      <c r="AN18" s="72">
        <f>thirtyminutes</f>
        <v>2</v>
      </c>
      <c r="AO18" s="72">
        <f t="shared" si="8"/>
        <v>0</v>
      </c>
      <c r="AP18" s="72">
        <f t="shared" si="8"/>
        <v>0</v>
      </c>
      <c r="AQ18" s="72">
        <f t="shared" si="8"/>
        <v>0</v>
      </c>
      <c r="AR18" s="72">
        <f t="shared" si="2"/>
        <v>0</v>
      </c>
      <c r="AS18" s="72">
        <f t="shared" si="9"/>
        <v>0</v>
      </c>
    </row>
    <row r="19" spans="2:45" ht="30">
      <c r="B19" s="62" t="s">
        <v>59</v>
      </c>
      <c r="C19" s="72">
        <f>twentyminutes</f>
        <v>3</v>
      </c>
      <c r="D19" s="72">
        <f>TenMinutes</f>
        <v>4</v>
      </c>
      <c r="E19" s="72">
        <f>TenMinutes</f>
        <v>4</v>
      </c>
      <c r="F19" s="72">
        <f>TenMinutes</f>
        <v>4</v>
      </c>
      <c r="G19" s="72">
        <f t="shared" si="15"/>
        <v>4</v>
      </c>
      <c r="H19" s="72">
        <f>TenMinutes</f>
        <v>4</v>
      </c>
      <c r="I19" s="71">
        <f>Same</f>
        <v>5</v>
      </c>
      <c r="J19" s="72">
        <f>twentyminutes</f>
        <v>3</v>
      </c>
      <c r="K19" s="72">
        <f>thirtyminutes</f>
        <v>2</v>
      </c>
      <c r="L19" s="72">
        <f>twentyminutes</f>
        <v>3</v>
      </c>
      <c r="M19" s="72">
        <f>twentyminutes</f>
        <v>3</v>
      </c>
      <c r="N19" s="72">
        <f>thirtyminutes</f>
        <v>2</v>
      </c>
      <c r="O19" s="72">
        <f>twentyminutes</f>
        <v>3</v>
      </c>
      <c r="P19" s="72">
        <f t="shared" si="12"/>
        <v>4</v>
      </c>
      <c r="Q19" s="72">
        <f t="shared" si="12"/>
        <v>4</v>
      </c>
      <c r="R19" s="72">
        <f t="shared" si="12"/>
        <v>4</v>
      </c>
      <c r="S19" s="72">
        <f>twentyminutes</f>
        <v>3</v>
      </c>
      <c r="T19" s="72">
        <f>twentyminutes</f>
        <v>3</v>
      </c>
      <c r="U19" s="72">
        <f>twentyminutes</f>
        <v>3</v>
      </c>
      <c r="V19" s="72">
        <f>twentyminutes</f>
        <v>3</v>
      </c>
      <c r="W19" s="72">
        <f>TenMinutes</f>
        <v>4</v>
      </c>
      <c r="X19" s="72">
        <f t="shared" si="6"/>
        <v>4</v>
      </c>
      <c r="Y19" s="72">
        <f t="shared" si="6"/>
        <v>4</v>
      </c>
      <c r="Z19" s="72">
        <f>TenMinutes</f>
        <v>4</v>
      </c>
      <c r="AA19" s="72">
        <f>TenMinutes</f>
        <v>4</v>
      </c>
      <c r="AB19" s="72">
        <f>TenMinutes</f>
        <v>4</v>
      </c>
      <c r="AC19" s="72">
        <f t="shared" si="13"/>
        <v>3</v>
      </c>
      <c r="AD19" s="72">
        <f t="shared" si="13"/>
        <v>3</v>
      </c>
      <c r="AE19" s="72">
        <f t="shared" si="13"/>
        <v>3</v>
      </c>
      <c r="AF19" s="72">
        <f>twentyminutes</f>
        <v>3</v>
      </c>
      <c r="AG19" s="72">
        <f t="shared" si="7"/>
        <v>3</v>
      </c>
      <c r="AH19" s="72">
        <f>twentyminutes</f>
        <v>3</v>
      </c>
      <c r="AI19" s="72">
        <f>twentyminutes</f>
        <v>3</v>
      </c>
      <c r="AJ19" s="72">
        <f>twentyminutes</f>
        <v>3</v>
      </c>
      <c r="AK19" s="72">
        <f t="shared" si="14"/>
        <v>2</v>
      </c>
      <c r="AL19" s="72">
        <f t="shared" si="14"/>
        <v>2</v>
      </c>
      <c r="AM19" s="72">
        <f t="shared" si="16"/>
        <v>0</v>
      </c>
      <c r="AN19" s="72">
        <f>thirtyminutes</f>
        <v>2</v>
      </c>
      <c r="AO19" s="72">
        <f t="shared" si="8"/>
        <v>0</v>
      </c>
      <c r="AP19" s="72">
        <f t="shared" si="8"/>
        <v>0</v>
      </c>
      <c r="AQ19" s="72">
        <f t="shared" si="8"/>
        <v>0</v>
      </c>
      <c r="AR19" s="72">
        <f t="shared" si="2"/>
        <v>0</v>
      </c>
      <c r="AS19" s="72">
        <f t="shared" si="9"/>
        <v>0</v>
      </c>
    </row>
    <row r="20" spans="2:45">
      <c r="B20" s="62" t="s">
        <v>4</v>
      </c>
      <c r="C20" s="72">
        <f>TenMinutes</f>
        <v>4</v>
      </c>
      <c r="D20" s="72">
        <f>twentyminutes</f>
        <v>3</v>
      </c>
      <c r="E20" s="72">
        <f>TenMinutes</f>
        <v>4</v>
      </c>
      <c r="F20" s="72">
        <f>twentyminutes</f>
        <v>3</v>
      </c>
      <c r="G20" s="72">
        <f t="shared" si="15"/>
        <v>4</v>
      </c>
      <c r="H20" s="72">
        <f>TenMinutes</f>
        <v>4</v>
      </c>
      <c r="I20" s="72">
        <f>twentyminutes</f>
        <v>3</v>
      </c>
      <c r="J20" s="71">
        <f>Same</f>
        <v>5</v>
      </c>
      <c r="K20" s="72">
        <f>TenMinutes</f>
        <v>4</v>
      </c>
      <c r="L20" s="72">
        <f>TenMinutes</f>
        <v>4</v>
      </c>
      <c r="M20" s="72">
        <f>TenMinutes</f>
        <v>4</v>
      </c>
      <c r="N20" s="72">
        <f>twentyminutes</f>
        <v>3</v>
      </c>
      <c r="O20" s="72">
        <f>twentyminutes</f>
        <v>3</v>
      </c>
      <c r="P20" s="72">
        <f>TenMinutes</f>
        <v>4</v>
      </c>
      <c r="Q20" s="72">
        <f>twentyminutes</f>
        <v>3</v>
      </c>
      <c r="R20" s="72">
        <f>TenMinutes</f>
        <v>4</v>
      </c>
      <c r="S20" s="72">
        <f>TenMinutes</f>
        <v>4</v>
      </c>
      <c r="T20" s="72">
        <f>TenMinutes</f>
        <v>4</v>
      </c>
      <c r="U20" s="72">
        <f t="shared" ref="U20:AA20" si="17">twentyminutes</f>
        <v>3</v>
      </c>
      <c r="V20" s="72">
        <f t="shared" si="17"/>
        <v>3</v>
      </c>
      <c r="W20" s="72">
        <f t="shared" si="17"/>
        <v>3</v>
      </c>
      <c r="X20" s="72">
        <f t="shared" si="17"/>
        <v>3</v>
      </c>
      <c r="Y20" s="72">
        <f t="shared" si="17"/>
        <v>3</v>
      </c>
      <c r="Z20" s="72">
        <f t="shared" si="17"/>
        <v>3</v>
      </c>
      <c r="AA20" s="72">
        <f t="shared" si="17"/>
        <v>3</v>
      </c>
      <c r="AB20" s="72">
        <f>TenMinutes</f>
        <v>4</v>
      </c>
      <c r="AC20" s="72">
        <f>TenMinutes</f>
        <v>4</v>
      </c>
      <c r="AD20" s="72">
        <f>TenMinutes</f>
        <v>4</v>
      </c>
      <c r="AE20" s="72">
        <f>TenMinutes</f>
        <v>4</v>
      </c>
      <c r="AF20" s="72">
        <f>thirtyminutes</f>
        <v>2</v>
      </c>
      <c r="AG20" s="72">
        <f t="shared" si="7"/>
        <v>3</v>
      </c>
      <c r="AH20" s="72">
        <f>thirtyminutes</f>
        <v>2</v>
      </c>
      <c r="AI20" s="72">
        <f>thirtyminutes</f>
        <v>2</v>
      </c>
      <c r="AJ20" s="72">
        <f>twentyminutes</f>
        <v>3</v>
      </c>
      <c r="AK20" s="72">
        <f>twentyminutes</f>
        <v>3</v>
      </c>
      <c r="AL20" s="72">
        <f>twentyminutes</f>
        <v>3</v>
      </c>
      <c r="AM20" s="72">
        <f t="shared" si="16"/>
        <v>0</v>
      </c>
      <c r="AN20" s="72">
        <f t="shared" ref="AN20:AP30" si="18">Other</f>
        <v>0</v>
      </c>
      <c r="AO20" s="72">
        <f t="shared" si="18"/>
        <v>0</v>
      </c>
      <c r="AP20" s="72">
        <f t="shared" si="18"/>
        <v>0</v>
      </c>
      <c r="AQ20" s="72">
        <f>thirtyminutes</f>
        <v>2</v>
      </c>
      <c r="AR20" s="72">
        <f t="shared" si="2"/>
        <v>0</v>
      </c>
      <c r="AS20" s="72">
        <f>thirtyminutes</f>
        <v>2</v>
      </c>
    </row>
    <row r="21" spans="2:45">
      <c r="B21" s="63" t="s">
        <v>53</v>
      </c>
      <c r="C21" s="72">
        <f>twentyminutes</f>
        <v>3</v>
      </c>
      <c r="D21" s="72">
        <f>twentyminutes</f>
        <v>3</v>
      </c>
      <c r="E21" s="72">
        <f t="shared" ref="E21:E33" si="19">twentyminutes</f>
        <v>3</v>
      </c>
      <c r="F21" s="72">
        <f>twentyminutes</f>
        <v>3</v>
      </c>
      <c r="G21" s="72">
        <f t="shared" si="15"/>
        <v>4</v>
      </c>
      <c r="H21" s="72">
        <f>TenMinutes</f>
        <v>4</v>
      </c>
      <c r="I21" s="72">
        <f>thirtyminutes</f>
        <v>2</v>
      </c>
      <c r="J21" s="72">
        <f>TenMinutes</f>
        <v>4</v>
      </c>
      <c r="K21" s="71">
        <f>Same</f>
        <v>5</v>
      </c>
      <c r="L21" s="75">
        <f>TenMinutes</f>
        <v>4</v>
      </c>
      <c r="M21" s="75">
        <f>TenMinutes</f>
        <v>4</v>
      </c>
      <c r="N21" s="75">
        <f>TenMinutes</f>
        <v>4</v>
      </c>
      <c r="O21" s="75">
        <f>twentyminutes</f>
        <v>3</v>
      </c>
      <c r="P21" s="75">
        <f>twentyminutes</f>
        <v>3</v>
      </c>
      <c r="Q21" s="75">
        <f>twentyminutes</f>
        <v>3</v>
      </c>
      <c r="R21" s="75">
        <f>twentyminutes</f>
        <v>3</v>
      </c>
      <c r="S21" s="75">
        <f>twentyminutes</f>
        <v>3</v>
      </c>
      <c r="T21" s="75">
        <f>TenMinutes</f>
        <v>4</v>
      </c>
      <c r="U21" s="75">
        <f>twentyminutes</f>
        <v>3</v>
      </c>
      <c r="V21" s="75">
        <f>thirtyminutes</f>
        <v>2</v>
      </c>
      <c r="W21" s="75">
        <f>thirtyminutes</f>
        <v>2</v>
      </c>
      <c r="X21" s="75">
        <f>Other</f>
        <v>0</v>
      </c>
      <c r="Y21" s="75">
        <f>thirtyminutes</f>
        <v>2</v>
      </c>
      <c r="Z21" s="75">
        <f>Other</f>
        <v>0</v>
      </c>
      <c r="AA21" s="75">
        <f>Other</f>
        <v>0</v>
      </c>
      <c r="AB21" s="75">
        <f>thirtyminutes</f>
        <v>2</v>
      </c>
      <c r="AC21" s="75">
        <f t="shared" ref="AC21:AE23" si="20">twentyminutes</f>
        <v>3</v>
      </c>
      <c r="AD21" s="75">
        <f t="shared" si="20"/>
        <v>3</v>
      </c>
      <c r="AE21" s="75">
        <f t="shared" si="20"/>
        <v>3</v>
      </c>
      <c r="AF21" s="75">
        <f>Other</f>
        <v>0</v>
      </c>
      <c r="AG21" s="75">
        <f>Other</f>
        <v>0</v>
      </c>
      <c r="AH21" s="75">
        <f>Other</f>
        <v>0</v>
      </c>
      <c r="AI21" s="75">
        <f>Other</f>
        <v>0</v>
      </c>
      <c r="AJ21" s="75">
        <f t="shared" ref="AJ21:AL30" si="21">thirtyminutes</f>
        <v>2</v>
      </c>
      <c r="AK21" s="75">
        <f t="shared" si="21"/>
        <v>2</v>
      </c>
      <c r="AL21" s="75">
        <f t="shared" si="21"/>
        <v>2</v>
      </c>
      <c r="AM21" s="75">
        <f t="shared" si="16"/>
        <v>0</v>
      </c>
      <c r="AN21" s="75">
        <f t="shared" si="18"/>
        <v>0</v>
      </c>
      <c r="AO21" s="75">
        <f t="shared" si="18"/>
        <v>0</v>
      </c>
      <c r="AP21" s="75">
        <f t="shared" si="18"/>
        <v>0</v>
      </c>
      <c r="AQ21" s="75">
        <f t="shared" ref="AQ21:AQ30" si="22">Other</f>
        <v>0</v>
      </c>
      <c r="AR21" s="75">
        <f t="shared" si="2"/>
        <v>0</v>
      </c>
      <c r="AS21" s="75">
        <f t="shared" ref="AS21:AS30" si="23">Other</f>
        <v>0</v>
      </c>
    </row>
    <row r="22" spans="2:45">
      <c r="B22" s="63" t="s">
        <v>11</v>
      </c>
      <c r="C22" s="72">
        <f>twentyminutes</f>
        <v>3</v>
      </c>
      <c r="D22" s="72">
        <f>TenMinutes</f>
        <v>4</v>
      </c>
      <c r="E22" s="73">
        <f t="shared" si="19"/>
        <v>3</v>
      </c>
      <c r="F22" s="72">
        <f>TenMinutes</f>
        <v>4</v>
      </c>
      <c r="G22" s="72">
        <f t="shared" si="15"/>
        <v>4</v>
      </c>
      <c r="H22" s="72">
        <f>TenMinutes</f>
        <v>4</v>
      </c>
      <c r="I22" s="72">
        <f>twentyminutes</f>
        <v>3</v>
      </c>
      <c r="J22" s="72">
        <f>TenMinutes</f>
        <v>4</v>
      </c>
      <c r="K22" s="75">
        <f>TenMinutes</f>
        <v>4</v>
      </c>
      <c r="L22" s="71">
        <f>Same</f>
        <v>5</v>
      </c>
      <c r="M22" s="75">
        <f t="shared" ref="M22:S22" si="24">TenMinutes</f>
        <v>4</v>
      </c>
      <c r="N22" s="75">
        <f t="shared" si="24"/>
        <v>4</v>
      </c>
      <c r="O22" s="75">
        <f t="shared" si="24"/>
        <v>4</v>
      </c>
      <c r="P22" s="75">
        <f t="shared" si="24"/>
        <v>4</v>
      </c>
      <c r="Q22" s="75">
        <f t="shared" si="24"/>
        <v>4</v>
      </c>
      <c r="R22" s="75">
        <f t="shared" si="24"/>
        <v>4</v>
      </c>
      <c r="S22" s="75">
        <f t="shared" si="24"/>
        <v>4</v>
      </c>
      <c r="T22" s="75">
        <f>TenMinutes</f>
        <v>4</v>
      </c>
      <c r="U22" s="75">
        <f>TenMinutes</f>
        <v>4</v>
      </c>
      <c r="V22" s="75">
        <f>twentyminutes</f>
        <v>3</v>
      </c>
      <c r="W22" s="75">
        <f>twentyminutes</f>
        <v>3</v>
      </c>
      <c r="X22" s="75">
        <f>thirtyminutes</f>
        <v>2</v>
      </c>
      <c r="Y22" s="75">
        <f>thirtyminutes</f>
        <v>2</v>
      </c>
      <c r="Z22" s="75">
        <f t="shared" ref="Z22:Z29" si="25">Other</f>
        <v>0</v>
      </c>
      <c r="AA22" s="75">
        <f t="shared" ref="AA22:AA28" si="26">thirtyminutes</f>
        <v>2</v>
      </c>
      <c r="AB22" s="75">
        <f t="shared" ref="AB22:AB30" si="27">twentyminutes</f>
        <v>3</v>
      </c>
      <c r="AC22" s="75">
        <f t="shared" si="20"/>
        <v>3</v>
      </c>
      <c r="AD22" s="75">
        <f t="shared" si="20"/>
        <v>3</v>
      </c>
      <c r="AE22" s="75">
        <f t="shared" si="20"/>
        <v>3</v>
      </c>
      <c r="AF22" s="75">
        <f t="shared" ref="AF22:AH30" si="28">thirtyminutes</f>
        <v>2</v>
      </c>
      <c r="AG22" s="75">
        <f t="shared" si="28"/>
        <v>2</v>
      </c>
      <c r="AH22" s="75">
        <f t="shared" si="28"/>
        <v>2</v>
      </c>
      <c r="AI22" s="75">
        <f>twentyminutes</f>
        <v>3</v>
      </c>
      <c r="AJ22" s="75">
        <f t="shared" si="21"/>
        <v>2</v>
      </c>
      <c r="AK22" s="75">
        <f t="shared" si="21"/>
        <v>2</v>
      </c>
      <c r="AL22" s="75">
        <f t="shared" si="21"/>
        <v>2</v>
      </c>
      <c r="AM22" s="75">
        <f t="shared" si="16"/>
        <v>0</v>
      </c>
      <c r="AN22" s="75">
        <f t="shared" si="18"/>
        <v>0</v>
      </c>
      <c r="AO22" s="75">
        <f t="shared" si="18"/>
        <v>0</v>
      </c>
      <c r="AP22" s="75">
        <f t="shared" si="18"/>
        <v>0</v>
      </c>
      <c r="AQ22" s="75">
        <f t="shared" si="22"/>
        <v>0</v>
      </c>
      <c r="AR22" s="75">
        <f t="shared" si="2"/>
        <v>0</v>
      </c>
      <c r="AS22" s="75">
        <f t="shared" si="23"/>
        <v>0</v>
      </c>
    </row>
    <row r="23" spans="2:45">
      <c r="B23" s="63" t="s">
        <v>12</v>
      </c>
      <c r="C23" s="72">
        <f>thirtyminutes</f>
        <v>2</v>
      </c>
      <c r="D23" s="72">
        <f>TenMinutes</f>
        <v>4</v>
      </c>
      <c r="E23" s="73">
        <f t="shared" si="19"/>
        <v>3</v>
      </c>
      <c r="F23" s="72">
        <f>twentyminutes</f>
        <v>3</v>
      </c>
      <c r="G23" s="72">
        <f t="shared" si="15"/>
        <v>4</v>
      </c>
      <c r="H23" s="72">
        <f>TenMinutes</f>
        <v>4</v>
      </c>
      <c r="I23" s="72">
        <f>twentyminutes</f>
        <v>3</v>
      </c>
      <c r="J23" s="72">
        <f>TenMinutes</f>
        <v>4</v>
      </c>
      <c r="K23" s="75">
        <f>TenMinutes</f>
        <v>4</v>
      </c>
      <c r="L23" s="75">
        <f t="shared" ref="L23:L31" si="29">TenMinutes</f>
        <v>4</v>
      </c>
      <c r="M23" s="71">
        <f>Same</f>
        <v>5</v>
      </c>
      <c r="N23" s="75">
        <f t="shared" ref="N23:S23" si="30">TenMinutes</f>
        <v>4</v>
      </c>
      <c r="O23" s="75">
        <f t="shared" si="30"/>
        <v>4</v>
      </c>
      <c r="P23" s="75">
        <f t="shared" si="30"/>
        <v>4</v>
      </c>
      <c r="Q23" s="75">
        <f t="shared" si="30"/>
        <v>4</v>
      </c>
      <c r="R23" s="75">
        <f t="shared" si="30"/>
        <v>4</v>
      </c>
      <c r="S23" s="75">
        <f t="shared" si="30"/>
        <v>4</v>
      </c>
      <c r="T23" s="75">
        <f>TenMinutes</f>
        <v>4</v>
      </c>
      <c r="U23" s="75">
        <f>TenMinutes</f>
        <v>4</v>
      </c>
      <c r="V23" s="75">
        <f>twentyminutes</f>
        <v>3</v>
      </c>
      <c r="W23" s="75">
        <f>twentyminutes</f>
        <v>3</v>
      </c>
      <c r="X23" s="75">
        <f>thirtyminutes</f>
        <v>2</v>
      </c>
      <c r="Y23" s="75">
        <f>thirtyminutes</f>
        <v>2</v>
      </c>
      <c r="Z23" s="75">
        <f t="shared" si="25"/>
        <v>0</v>
      </c>
      <c r="AA23" s="75">
        <f t="shared" si="26"/>
        <v>2</v>
      </c>
      <c r="AB23" s="75">
        <f t="shared" si="27"/>
        <v>3</v>
      </c>
      <c r="AC23" s="75">
        <f t="shared" si="20"/>
        <v>3</v>
      </c>
      <c r="AD23" s="75">
        <f t="shared" si="20"/>
        <v>3</v>
      </c>
      <c r="AE23" s="75">
        <f t="shared" si="20"/>
        <v>3</v>
      </c>
      <c r="AF23" s="75">
        <f t="shared" si="28"/>
        <v>2</v>
      </c>
      <c r="AG23" s="75">
        <f t="shared" si="28"/>
        <v>2</v>
      </c>
      <c r="AH23" s="75">
        <f t="shared" si="28"/>
        <v>2</v>
      </c>
      <c r="AI23" s="75">
        <f>twentyminutes</f>
        <v>3</v>
      </c>
      <c r="AJ23" s="75">
        <f t="shared" si="21"/>
        <v>2</v>
      </c>
      <c r="AK23" s="75">
        <f t="shared" si="21"/>
        <v>2</v>
      </c>
      <c r="AL23" s="75">
        <f t="shared" si="21"/>
        <v>2</v>
      </c>
      <c r="AM23" s="75">
        <f t="shared" si="16"/>
        <v>0</v>
      </c>
      <c r="AN23" s="75">
        <f t="shared" si="18"/>
        <v>0</v>
      </c>
      <c r="AO23" s="75">
        <f t="shared" si="18"/>
        <v>0</v>
      </c>
      <c r="AP23" s="75">
        <f t="shared" si="18"/>
        <v>0</v>
      </c>
      <c r="AQ23" s="75">
        <f t="shared" si="22"/>
        <v>0</v>
      </c>
      <c r="AR23" s="75">
        <f t="shared" si="2"/>
        <v>0</v>
      </c>
      <c r="AS23" s="75">
        <f t="shared" si="23"/>
        <v>0</v>
      </c>
    </row>
    <row r="24" spans="2:45">
      <c r="B24" s="63" t="s">
        <v>78</v>
      </c>
      <c r="C24" s="72">
        <f>thirtyminutes</f>
        <v>2</v>
      </c>
      <c r="D24" s="72">
        <f>twentyminutes</f>
        <v>3</v>
      </c>
      <c r="E24" s="73">
        <f t="shared" si="19"/>
        <v>3</v>
      </c>
      <c r="F24" s="72">
        <f>twentyminutes</f>
        <v>3</v>
      </c>
      <c r="G24" s="72">
        <f>twentyminutes</f>
        <v>3</v>
      </c>
      <c r="H24" s="72">
        <f>twentyminutes</f>
        <v>3</v>
      </c>
      <c r="I24" s="72">
        <f>thirtyminutes</f>
        <v>2</v>
      </c>
      <c r="J24" s="72">
        <f>twentyminutes</f>
        <v>3</v>
      </c>
      <c r="K24" s="75">
        <f>TenMinutes</f>
        <v>4</v>
      </c>
      <c r="L24" s="75">
        <f t="shared" si="29"/>
        <v>4</v>
      </c>
      <c r="M24" s="75">
        <f t="shared" ref="M24:M31" si="31">TenMinutes</f>
        <v>4</v>
      </c>
      <c r="N24" s="71">
        <f>Same</f>
        <v>5</v>
      </c>
      <c r="O24" s="75">
        <f>TenMinutes</f>
        <v>4</v>
      </c>
      <c r="P24" s="75">
        <f>twentyminutes</f>
        <v>3</v>
      </c>
      <c r="Q24" s="75">
        <f>twentyminutes</f>
        <v>3</v>
      </c>
      <c r="R24" s="75">
        <f>twentyminutes</f>
        <v>3</v>
      </c>
      <c r="S24" s="75">
        <f>twentyminutes</f>
        <v>3</v>
      </c>
      <c r="T24" s="75">
        <f>TenMinutes</f>
        <v>4</v>
      </c>
      <c r="U24" s="75">
        <f>TenMinutes</f>
        <v>4</v>
      </c>
      <c r="V24" s="75">
        <f>thirtyminutes</f>
        <v>2</v>
      </c>
      <c r="W24" s="75">
        <f>thirtyminutes</f>
        <v>2</v>
      </c>
      <c r="X24" s="75">
        <f>twentyminutes</f>
        <v>3</v>
      </c>
      <c r="Y24" s="75">
        <f>twentyminutes</f>
        <v>3</v>
      </c>
      <c r="Z24" s="75">
        <f t="shared" si="25"/>
        <v>0</v>
      </c>
      <c r="AA24" s="75">
        <f t="shared" si="26"/>
        <v>2</v>
      </c>
      <c r="AB24" s="75">
        <f t="shared" si="27"/>
        <v>3</v>
      </c>
      <c r="AC24" s="75">
        <f t="shared" ref="AC24:AE28" si="32">thirtyminutes</f>
        <v>2</v>
      </c>
      <c r="AD24" s="75">
        <f t="shared" si="32"/>
        <v>2</v>
      </c>
      <c r="AE24" s="75">
        <f t="shared" si="32"/>
        <v>2</v>
      </c>
      <c r="AF24" s="75">
        <f t="shared" si="28"/>
        <v>2</v>
      </c>
      <c r="AG24" s="75">
        <f t="shared" si="28"/>
        <v>2</v>
      </c>
      <c r="AH24" s="75">
        <f t="shared" si="28"/>
        <v>2</v>
      </c>
      <c r="AI24" s="75">
        <f t="shared" ref="AI24:AI30" si="33">thirtyminutes</f>
        <v>2</v>
      </c>
      <c r="AJ24" s="75">
        <f t="shared" si="21"/>
        <v>2</v>
      </c>
      <c r="AK24" s="75">
        <f t="shared" si="21"/>
        <v>2</v>
      </c>
      <c r="AL24" s="75">
        <f t="shared" si="21"/>
        <v>2</v>
      </c>
      <c r="AM24" s="75">
        <f t="shared" si="16"/>
        <v>0</v>
      </c>
      <c r="AN24" s="75">
        <f t="shared" si="18"/>
        <v>0</v>
      </c>
      <c r="AO24" s="75">
        <f t="shared" si="18"/>
        <v>0</v>
      </c>
      <c r="AP24" s="75">
        <f t="shared" si="18"/>
        <v>0</v>
      </c>
      <c r="AQ24" s="75">
        <f t="shared" si="22"/>
        <v>0</v>
      </c>
      <c r="AR24" s="75">
        <f t="shared" si="2"/>
        <v>0</v>
      </c>
      <c r="AS24" s="75">
        <f t="shared" si="23"/>
        <v>0</v>
      </c>
    </row>
    <row r="25" spans="2:45">
      <c r="B25" s="63" t="s">
        <v>108</v>
      </c>
      <c r="C25" s="72">
        <f>thirtyminutes</f>
        <v>2</v>
      </c>
      <c r="D25" s="72">
        <f>twentyminutes</f>
        <v>3</v>
      </c>
      <c r="E25" s="73">
        <f t="shared" si="19"/>
        <v>3</v>
      </c>
      <c r="F25" s="72">
        <f>twentyminutes</f>
        <v>3</v>
      </c>
      <c r="G25" s="72">
        <f>twentyminutes</f>
        <v>3</v>
      </c>
      <c r="H25" s="72">
        <f t="shared" ref="H25:H31" si="34">TenMinutes</f>
        <v>4</v>
      </c>
      <c r="I25" s="72">
        <f>twentyminutes</f>
        <v>3</v>
      </c>
      <c r="J25" s="72">
        <f>twentyminutes</f>
        <v>3</v>
      </c>
      <c r="K25" s="75">
        <f>twentyminutes</f>
        <v>3</v>
      </c>
      <c r="L25" s="75">
        <f t="shared" si="29"/>
        <v>4</v>
      </c>
      <c r="M25" s="75">
        <f t="shared" si="31"/>
        <v>4</v>
      </c>
      <c r="N25" s="75">
        <f>TenMinutes</f>
        <v>4</v>
      </c>
      <c r="O25" s="71">
        <f>Same</f>
        <v>5</v>
      </c>
      <c r="P25" s="75">
        <f>twentyminutes</f>
        <v>3</v>
      </c>
      <c r="Q25" s="75">
        <f>TenMinutes</f>
        <v>4</v>
      </c>
      <c r="R25" s="75">
        <f>twentyminutes</f>
        <v>3</v>
      </c>
      <c r="S25" s="75">
        <f>twentyminutes</f>
        <v>3</v>
      </c>
      <c r="T25" s="75">
        <f>twentyminutes</f>
        <v>3</v>
      </c>
      <c r="U25" s="75">
        <f>TenMinutes</f>
        <v>4</v>
      </c>
      <c r="V25" s="75">
        <f>thirtyminutes</f>
        <v>2</v>
      </c>
      <c r="W25" s="75">
        <f>thirtyminutes</f>
        <v>2</v>
      </c>
      <c r="X25" s="75">
        <f>twentyminutes</f>
        <v>3</v>
      </c>
      <c r="Y25" s="75">
        <f>thirtyminutes</f>
        <v>2</v>
      </c>
      <c r="Z25" s="75">
        <f t="shared" si="25"/>
        <v>0</v>
      </c>
      <c r="AA25" s="75">
        <f t="shared" si="26"/>
        <v>2</v>
      </c>
      <c r="AB25" s="75">
        <f t="shared" si="27"/>
        <v>3</v>
      </c>
      <c r="AC25" s="75">
        <f t="shared" si="32"/>
        <v>2</v>
      </c>
      <c r="AD25" s="75">
        <f t="shared" si="32"/>
        <v>2</v>
      </c>
      <c r="AE25" s="75">
        <f t="shared" si="32"/>
        <v>2</v>
      </c>
      <c r="AF25" s="75">
        <f t="shared" si="28"/>
        <v>2</v>
      </c>
      <c r="AG25" s="75">
        <f t="shared" si="28"/>
        <v>2</v>
      </c>
      <c r="AH25" s="75">
        <f t="shared" si="28"/>
        <v>2</v>
      </c>
      <c r="AI25" s="75">
        <f t="shared" si="33"/>
        <v>2</v>
      </c>
      <c r="AJ25" s="75">
        <f t="shared" si="21"/>
        <v>2</v>
      </c>
      <c r="AK25" s="75">
        <f t="shared" si="21"/>
        <v>2</v>
      </c>
      <c r="AL25" s="75">
        <f t="shared" si="21"/>
        <v>2</v>
      </c>
      <c r="AM25" s="75">
        <f t="shared" si="16"/>
        <v>0</v>
      </c>
      <c r="AN25" s="75">
        <f t="shared" si="18"/>
        <v>0</v>
      </c>
      <c r="AO25" s="75">
        <f t="shared" si="18"/>
        <v>0</v>
      </c>
      <c r="AP25" s="75">
        <f t="shared" si="18"/>
        <v>0</v>
      </c>
      <c r="AQ25" s="75">
        <f t="shared" si="22"/>
        <v>0</v>
      </c>
      <c r="AR25" s="75">
        <f t="shared" si="2"/>
        <v>0</v>
      </c>
      <c r="AS25" s="75">
        <f t="shared" si="23"/>
        <v>0</v>
      </c>
    </row>
    <row r="26" spans="2:45">
      <c r="B26" s="63" t="s">
        <v>10</v>
      </c>
      <c r="C26" s="72">
        <f>twentyminutes</f>
        <v>3</v>
      </c>
      <c r="D26" s="72">
        <f>TenMinutes</f>
        <v>4</v>
      </c>
      <c r="E26" s="73">
        <f t="shared" si="19"/>
        <v>3</v>
      </c>
      <c r="F26" s="72">
        <f t="shared" ref="F26:G28" si="35">TenMinutes</f>
        <v>4</v>
      </c>
      <c r="G26" s="72">
        <f t="shared" si="35"/>
        <v>4</v>
      </c>
      <c r="H26" s="72">
        <f t="shared" si="34"/>
        <v>4</v>
      </c>
      <c r="I26" s="72">
        <f>TenMinutes</f>
        <v>4</v>
      </c>
      <c r="J26" s="72">
        <f>TenMinutes</f>
        <v>4</v>
      </c>
      <c r="K26" s="75">
        <f>twentyminutes</f>
        <v>3</v>
      </c>
      <c r="L26" s="75">
        <f t="shared" si="29"/>
        <v>4</v>
      </c>
      <c r="M26" s="75">
        <f t="shared" si="31"/>
        <v>4</v>
      </c>
      <c r="N26" s="75">
        <f>twentyminutes</f>
        <v>3</v>
      </c>
      <c r="O26" s="75">
        <f>twentyminutes</f>
        <v>3</v>
      </c>
      <c r="P26" s="71">
        <f>Same</f>
        <v>5</v>
      </c>
      <c r="Q26" s="75">
        <f>TenMinutes</f>
        <v>4</v>
      </c>
      <c r="R26" s="75">
        <f>TenMinutes</f>
        <v>4</v>
      </c>
      <c r="S26" s="75">
        <f>TenMinutes</f>
        <v>4</v>
      </c>
      <c r="T26" s="75">
        <f>twentyminutes</f>
        <v>3</v>
      </c>
      <c r="U26" s="75">
        <f>twentyminutes</f>
        <v>3</v>
      </c>
      <c r="V26" s="75">
        <f>thirtyminutes</f>
        <v>2</v>
      </c>
      <c r="W26" s="75">
        <f>twentyminutes</f>
        <v>3</v>
      </c>
      <c r="X26" s="75">
        <f>twentyminutes</f>
        <v>3</v>
      </c>
      <c r="Y26" s="75">
        <f>twentyminutes</f>
        <v>3</v>
      </c>
      <c r="Z26" s="75">
        <f t="shared" si="25"/>
        <v>0</v>
      </c>
      <c r="AA26" s="75">
        <f t="shared" si="26"/>
        <v>2</v>
      </c>
      <c r="AB26" s="75">
        <f t="shared" si="27"/>
        <v>3</v>
      </c>
      <c r="AC26" s="75">
        <f t="shared" si="32"/>
        <v>2</v>
      </c>
      <c r="AD26" s="75">
        <f t="shared" si="32"/>
        <v>2</v>
      </c>
      <c r="AE26" s="75">
        <f t="shared" si="32"/>
        <v>2</v>
      </c>
      <c r="AF26" s="75">
        <f t="shared" si="28"/>
        <v>2</v>
      </c>
      <c r="AG26" s="75">
        <f t="shared" si="28"/>
        <v>2</v>
      </c>
      <c r="AH26" s="75">
        <f t="shared" si="28"/>
        <v>2</v>
      </c>
      <c r="AI26" s="75">
        <f t="shared" si="33"/>
        <v>2</v>
      </c>
      <c r="AJ26" s="75">
        <f t="shared" si="21"/>
        <v>2</v>
      </c>
      <c r="AK26" s="75">
        <f t="shared" si="21"/>
        <v>2</v>
      </c>
      <c r="AL26" s="75">
        <f t="shared" si="21"/>
        <v>2</v>
      </c>
      <c r="AM26" s="75">
        <f t="shared" si="16"/>
        <v>0</v>
      </c>
      <c r="AN26" s="75">
        <f t="shared" si="18"/>
        <v>0</v>
      </c>
      <c r="AO26" s="75">
        <f t="shared" si="18"/>
        <v>0</v>
      </c>
      <c r="AP26" s="75">
        <f t="shared" si="18"/>
        <v>0</v>
      </c>
      <c r="AQ26" s="75">
        <f t="shared" si="22"/>
        <v>0</v>
      </c>
      <c r="AR26" s="75">
        <f t="shared" si="2"/>
        <v>0</v>
      </c>
      <c r="AS26" s="75">
        <f t="shared" si="23"/>
        <v>0</v>
      </c>
    </row>
    <row r="27" spans="2:45">
      <c r="B27" s="63" t="s">
        <v>9</v>
      </c>
      <c r="C27" s="72">
        <f>twentyminutes</f>
        <v>3</v>
      </c>
      <c r="D27" s="72">
        <f>TenMinutes</f>
        <v>4</v>
      </c>
      <c r="E27" s="73">
        <f t="shared" si="19"/>
        <v>3</v>
      </c>
      <c r="F27" s="72">
        <f t="shared" si="35"/>
        <v>4</v>
      </c>
      <c r="G27" s="72">
        <f t="shared" si="35"/>
        <v>4</v>
      </c>
      <c r="H27" s="72">
        <f t="shared" si="34"/>
        <v>4</v>
      </c>
      <c r="I27" s="72">
        <f>TenMinutes</f>
        <v>4</v>
      </c>
      <c r="J27" s="72">
        <f>twentyminutes</f>
        <v>3</v>
      </c>
      <c r="K27" s="75">
        <f>twentyminutes</f>
        <v>3</v>
      </c>
      <c r="L27" s="75">
        <f t="shared" si="29"/>
        <v>4</v>
      </c>
      <c r="M27" s="75">
        <f t="shared" si="31"/>
        <v>4</v>
      </c>
      <c r="N27" s="75">
        <f>twentyminutes</f>
        <v>3</v>
      </c>
      <c r="O27" s="75">
        <f>TenMinutes</f>
        <v>4</v>
      </c>
      <c r="P27" s="75">
        <f>TenMinutes</f>
        <v>4</v>
      </c>
      <c r="Q27" s="71">
        <f>Same</f>
        <v>5</v>
      </c>
      <c r="R27" s="75">
        <f>TenMinutes</f>
        <v>4</v>
      </c>
      <c r="S27" s="75">
        <f>TenMinutes</f>
        <v>4</v>
      </c>
      <c r="T27" s="75">
        <f>thirtyminutes</f>
        <v>2</v>
      </c>
      <c r="U27" s="75">
        <f>TenMinutes</f>
        <v>4</v>
      </c>
      <c r="V27" s="75">
        <f>thirtyminutes</f>
        <v>2</v>
      </c>
      <c r="W27" s="75">
        <f>twentyminutes</f>
        <v>3</v>
      </c>
      <c r="X27" s="75">
        <f>twentyminutes</f>
        <v>3</v>
      </c>
      <c r="Y27" s="75">
        <f>twentyminutes</f>
        <v>3</v>
      </c>
      <c r="Z27" s="75">
        <f t="shared" si="25"/>
        <v>0</v>
      </c>
      <c r="AA27" s="75">
        <f t="shared" si="26"/>
        <v>2</v>
      </c>
      <c r="AB27" s="75">
        <f t="shared" si="27"/>
        <v>3</v>
      </c>
      <c r="AC27" s="75">
        <f t="shared" si="32"/>
        <v>2</v>
      </c>
      <c r="AD27" s="75">
        <f t="shared" si="32"/>
        <v>2</v>
      </c>
      <c r="AE27" s="75">
        <f t="shared" si="32"/>
        <v>2</v>
      </c>
      <c r="AF27" s="75">
        <f t="shared" si="28"/>
        <v>2</v>
      </c>
      <c r="AG27" s="75">
        <f t="shared" si="28"/>
        <v>2</v>
      </c>
      <c r="AH27" s="75">
        <f t="shared" si="28"/>
        <v>2</v>
      </c>
      <c r="AI27" s="75">
        <f t="shared" si="33"/>
        <v>2</v>
      </c>
      <c r="AJ27" s="75">
        <f t="shared" si="21"/>
        <v>2</v>
      </c>
      <c r="AK27" s="75">
        <f t="shared" si="21"/>
        <v>2</v>
      </c>
      <c r="AL27" s="75">
        <f t="shared" si="21"/>
        <v>2</v>
      </c>
      <c r="AM27" s="75">
        <f t="shared" si="16"/>
        <v>0</v>
      </c>
      <c r="AN27" s="75">
        <f t="shared" si="18"/>
        <v>0</v>
      </c>
      <c r="AO27" s="75">
        <f t="shared" si="18"/>
        <v>0</v>
      </c>
      <c r="AP27" s="75">
        <f t="shared" si="18"/>
        <v>0</v>
      </c>
      <c r="AQ27" s="75">
        <f t="shared" si="22"/>
        <v>0</v>
      </c>
      <c r="AR27" s="75">
        <f t="shared" si="2"/>
        <v>0</v>
      </c>
      <c r="AS27" s="75">
        <f t="shared" si="23"/>
        <v>0</v>
      </c>
    </row>
    <row r="28" spans="2:45">
      <c r="B28" s="63" t="s">
        <v>58</v>
      </c>
      <c r="C28" s="72">
        <f>twentyminutes</f>
        <v>3</v>
      </c>
      <c r="D28" s="72">
        <f>TenMinutes</f>
        <v>4</v>
      </c>
      <c r="E28" s="73">
        <f t="shared" si="19"/>
        <v>3</v>
      </c>
      <c r="F28" s="72">
        <f t="shared" si="35"/>
        <v>4</v>
      </c>
      <c r="G28" s="72">
        <f t="shared" si="35"/>
        <v>4</v>
      </c>
      <c r="H28" s="72">
        <f t="shared" si="34"/>
        <v>4</v>
      </c>
      <c r="I28" s="72">
        <f>TenMinutes</f>
        <v>4</v>
      </c>
      <c r="J28" s="72">
        <f>TenMinutes</f>
        <v>4</v>
      </c>
      <c r="K28" s="75">
        <f>twentyminutes</f>
        <v>3</v>
      </c>
      <c r="L28" s="75">
        <f t="shared" si="29"/>
        <v>4</v>
      </c>
      <c r="M28" s="75">
        <f t="shared" si="31"/>
        <v>4</v>
      </c>
      <c r="N28" s="75">
        <f>twentyminutes</f>
        <v>3</v>
      </c>
      <c r="O28" s="75">
        <f>twentyminutes</f>
        <v>3</v>
      </c>
      <c r="P28" s="75">
        <f>TenMinutes</f>
        <v>4</v>
      </c>
      <c r="Q28" s="75">
        <f>TenMinutes</f>
        <v>4</v>
      </c>
      <c r="R28" s="71">
        <f>Same</f>
        <v>5</v>
      </c>
      <c r="S28" s="75">
        <f>TenMinutes</f>
        <v>4</v>
      </c>
      <c r="T28" s="75">
        <f>twentyminutes</f>
        <v>3</v>
      </c>
      <c r="U28" s="75">
        <f>TenMinutes</f>
        <v>4</v>
      </c>
      <c r="V28" s="75">
        <f>thirtyminutes</f>
        <v>2</v>
      </c>
      <c r="W28" s="75">
        <f>twentyminutes</f>
        <v>3</v>
      </c>
      <c r="X28" s="75">
        <f>twentyminutes</f>
        <v>3</v>
      </c>
      <c r="Y28" s="75">
        <f>twentyminutes</f>
        <v>3</v>
      </c>
      <c r="Z28" s="75">
        <f t="shared" si="25"/>
        <v>0</v>
      </c>
      <c r="AA28" s="75">
        <f t="shared" si="26"/>
        <v>2</v>
      </c>
      <c r="AB28" s="75">
        <f t="shared" si="27"/>
        <v>3</v>
      </c>
      <c r="AC28" s="75">
        <f t="shared" si="32"/>
        <v>2</v>
      </c>
      <c r="AD28" s="75">
        <f t="shared" si="32"/>
        <v>2</v>
      </c>
      <c r="AE28" s="75">
        <f t="shared" si="32"/>
        <v>2</v>
      </c>
      <c r="AF28" s="75">
        <f t="shared" si="28"/>
        <v>2</v>
      </c>
      <c r="AG28" s="75">
        <f t="shared" si="28"/>
        <v>2</v>
      </c>
      <c r="AH28" s="75">
        <f t="shared" si="28"/>
        <v>2</v>
      </c>
      <c r="AI28" s="75">
        <f t="shared" si="33"/>
        <v>2</v>
      </c>
      <c r="AJ28" s="75">
        <f t="shared" si="21"/>
        <v>2</v>
      </c>
      <c r="AK28" s="75">
        <f t="shared" si="21"/>
        <v>2</v>
      </c>
      <c r="AL28" s="75">
        <f t="shared" si="21"/>
        <v>2</v>
      </c>
      <c r="AM28" s="75">
        <f t="shared" si="16"/>
        <v>0</v>
      </c>
      <c r="AN28" s="75">
        <f t="shared" si="18"/>
        <v>0</v>
      </c>
      <c r="AO28" s="75">
        <f t="shared" si="18"/>
        <v>0</v>
      </c>
      <c r="AP28" s="75">
        <f t="shared" si="18"/>
        <v>0</v>
      </c>
      <c r="AQ28" s="75">
        <f t="shared" si="22"/>
        <v>0</v>
      </c>
      <c r="AR28" s="75">
        <f t="shared" si="2"/>
        <v>0</v>
      </c>
      <c r="AS28" s="75">
        <f t="shared" si="23"/>
        <v>0</v>
      </c>
    </row>
    <row r="29" spans="2:45">
      <c r="B29" s="63" t="s">
        <v>3</v>
      </c>
      <c r="C29" s="72">
        <f>twentyminutes</f>
        <v>3</v>
      </c>
      <c r="D29" s="72">
        <f>TenMinutes</f>
        <v>4</v>
      </c>
      <c r="E29" s="73">
        <f t="shared" si="19"/>
        <v>3</v>
      </c>
      <c r="F29" s="72">
        <f>twentyminutes</f>
        <v>3</v>
      </c>
      <c r="G29" s="72">
        <f>TenMinutes</f>
        <v>4</v>
      </c>
      <c r="H29" s="72">
        <f t="shared" si="34"/>
        <v>4</v>
      </c>
      <c r="I29" s="72">
        <f>twentyminutes</f>
        <v>3</v>
      </c>
      <c r="J29" s="72">
        <f>TenMinutes</f>
        <v>4</v>
      </c>
      <c r="K29" s="75">
        <f>twentyminutes</f>
        <v>3</v>
      </c>
      <c r="L29" s="75">
        <f t="shared" si="29"/>
        <v>4</v>
      </c>
      <c r="M29" s="75">
        <f t="shared" si="31"/>
        <v>4</v>
      </c>
      <c r="N29" s="75">
        <f>twentyminutes</f>
        <v>3</v>
      </c>
      <c r="O29" s="75">
        <f>twentyminutes</f>
        <v>3</v>
      </c>
      <c r="P29" s="75">
        <f>TenMinutes</f>
        <v>4</v>
      </c>
      <c r="Q29" s="75">
        <f>TenMinutes</f>
        <v>4</v>
      </c>
      <c r="R29" s="75">
        <f>TenMinutes</f>
        <v>4</v>
      </c>
      <c r="S29" s="71">
        <f>Same</f>
        <v>5</v>
      </c>
      <c r="T29" s="75">
        <f>TenMinutes</f>
        <v>4</v>
      </c>
      <c r="U29" s="75">
        <f>thirtyminutes</f>
        <v>2</v>
      </c>
      <c r="V29" s="75">
        <f>twentyminutes</f>
        <v>3</v>
      </c>
      <c r="W29" s="75">
        <f>twentyminutes</f>
        <v>3</v>
      </c>
      <c r="X29" s="75">
        <f>twentyminutes</f>
        <v>3</v>
      </c>
      <c r="Y29" s="75">
        <f>twentyminutes</f>
        <v>3</v>
      </c>
      <c r="Z29" s="75">
        <f t="shared" si="25"/>
        <v>0</v>
      </c>
      <c r="AA29" s="75">
        <f>twentyminutes</f>
        <v>3</v>
      </c>
      <c r="AB29" s="75">
        <f t="shared" si="27"/>
        <v>3</v>
      </c>
      <c r="AC29" s="75">
        <f t="shared" ref="AC29:AE30" si="36">twentyminutes</f>
        <v>3</v>
      </c>
      <c r="AD29" s="75">
        <f t="shared" si="36"/>
        <v>3</v>
      </c>
      <c r="AE29" s="75">
        <f t="shared" si="36"/>
        <v>3</v>
      </c>
      <c r="AF29" s="75">
        <f t="shared" si="28"/>
        <v>2</v>
      </c>
      <c r="AG29" s="75">
        <f t="shared" si="28"/>
        <v>2</v>
      </c>
      <c r="AH29" s="75">
        <f t="shared" si="28"/>
        <v>2</v>
      </c>
      <c r="AI29" s="75">
        <f t="shared" si="33"/>
        <v>2</v>
      </c>
      <c r="AJ29" s="75">
        <f t="shared" si="21"/>
        <v>2</v>
      </c>
      <c r="AK29" s="75">
        <f t="shared" si="21"/>
        <v>2</v>
      </c>
      <c r="AL29" s="75">
        <f t="shared" si="21"/>
        <v>2</v>
      </c>
      <c r="AM29" s="75">
        <f t="shared" si="16"/>
        <v>0</v>
      </c>
      <c r="AN29" s="75">
        <f t="shared" si="18"/>
        <v>0</v>
      </c>
      <c r="AO29" s="75">
        <f t="shared" si="18"/>
        <v>0</v>
      </c>
      <c r="AP29" s="75">
        <f t="shared" si="18"/>
        <v>0</v>
      </c>
      <c r="AQ29" s="75">
        <f t="shared" si="22"/>
        <v>0</v>
      </c>
      <c r="AR29" s="75">
        <f t="shared" si="2"/>
        <v>0</v>
      </c>
      <c r="AS29" s="75">
        <f t="shared" si="23"/>
        <v>0</v>
      </c>
    </row>
    <row r="30" spans="2:45">
      <c r="B30" s="63" t="s">
        <v>7</v>
      </c>
      <c r="C30" s="72">
        <f>twentyminutes</f>
        <v>3</v>
      </c>
      <c r="D30" s="72">
        <f>twentyminutes</f>
        <v>3</v>
      </c>
      <c r="E30" s="73">
        <f t="shared" si="19"/>
        <v>3</v>
      </c>
      <c r="F30" s="72">
        <f>twentyminutes</f>
        <v>3</v>
      </c>
      <c r="G30" s="72">
        <f>TenMinutes</f>
        <v>4</v>
      </c>
      <c r="H30" s="72">
        <f t="shared" si="34"/>
        <v>4</v>
      </c>
      <c r="I30" s="72">
        <f>twentyminutes</f>
        <v>3</v>
      </c>
      <c r="J30" s="72">
        <f>TenMinutes</f>
        <v>4</v>
      </c>
      <c r="K30" s="75">
        <f>TenMinutes</f>
        <v>4</v>
      </c>
      <c r="L30" s="75">
        <f t="shared" si="29"/>
        <v>4</v>
      </c>
      <c r="M30" s="75">
        <f t="shared" si="31"/>
        <v>4</v>
      </c>
      <c r="N30" s="75">
        <f>TenMinutes</f>
        <v>4</v>
      </c>
      <c r="O30" s="75">
        <f>twentyminutes</f>
        <v>3</v>
      </c>
      <c r="P30" s="75">
        <f>twentyminutes</f>
        <v>3</v>
      </c>
      <c r="Q30" s="75">
        <f>thirtyminutes</f>
        <v>2</v>
      </c>
      <c r="R30" s="75">
        <f>twentyminutes</f>
        <v>3</v>
      </c>
      <c r="S30" s="75">
        <f>TenMinutes</f>
        <v>4</v>
      </c>
      <c r="T30" s="71">
        <f>Same</f>
        <v>5</v>
      </c>
      <c r="U30" s="75">
        <f>twentyminutes</f>
        <v>3</v>
      </c>
      <c r="V30" s="75">
        <f t="shared" ref="V30:AA30" si="37">thirtyminutes</f>
        <v>2</v>
      </c>
      <c r="W30" s="75">
        <f t="shared" si="37"/>
        <v>2</v>
      </c>
      <c r="X30" s="75">
        <f t="shared" si="37"/>
        <v>2</v>
      </c>
      <c r="Y30" s="75">
        <f t="shared" si="37"/>
        <v>2</v>
      </c>
      <c r="Z30" s="75">
        <f t="shared" si="37"/>
        <v>2</v>
      </c>
      <c r="AA30" s="75">
        <f t="shared" si="37"/>
        <v>2</v>
      </c>
      <c r="AB30" s="75">
        <f t="shared" si="27"/>
        <v>3</v>
      </c>
      <c r="AC30" s="75">
        <f t="shared" si="36"/>
        <v>3</v>
      </c>
      <c r="AD30" s="75">
        <f t="shared" si="36"/>
        <v>3</v>
      </c>
      <c r="AE30" s="75">
        <f t="shared" si="36"/>
        <v>3</v>
      </c>
      <c r="AF30" s="75">
        <f t="shared" si="28"/>
        <v>2</v>
      </c>
      <c r="AG30" s="75">
        <f t="shared" si="28"/>
        <v>2</v>
      </c>
      <c r="AH30" s="75">
        <f t="shared" si="28"/>
        <v>2</v>
      </c>
      <c r="AI30" s="75">
        <f t="shared" si="33"/>
        <v>2</v>
      </c>
      <c r="AJ30" s="75">
        <f t="shared" si="21"/>
        <v>2</v>
      </c>
      <c r="AK30" s="75">
        <f t="shared" si="21"/>
        <v>2</v>
      </c>
      <c r="AL30" s="75">
        <f t="shared" si="21"/>
        <v>2</v>
      </c>
      <c r="AM30" s="75">
        <f t="shared" si="16"/>
        <v>0</v>
      </c>
      <c r="AN30" s="75">
        <f t="shared" si="18"/>
        <v>0</v>
      </c>
      <c r="AO30" s="75">
        <f t="shared" si="18"/>
        <v>0</v>
      </c>
      <c r="AP30" s="75">
        <f t="shared" si="18"/>
        <v>0</v>
      </c>
      <c r="AQ30" s="75">
        <f t="shared" si="22"/>
        <v>0</v>
      </c>
      <c r="AR30" s="75">
        <f t="shared" si="2"/>
        <v>0</v>
      </c>
      <c r="AS30" s="75">
        <f t="shared" si="23"/>
        <v>0</v>
      </c>
    </row>
    <row r="31" spans="2:45">
      <c r="B31" s="63" t="s">
        <v>8</v>
      </c>
      <c r="C31" s="72">
        <f>thirtyminutes</f>
        <v>2</v>
      </c>
      <c r="D31" s="72">
        <f>TenMinutes</f>
        <v>4</v>
      </c>
      <c r="E31" s="73">
        <f t="shared" si="19"/>
        <v>3</v>
      </c>
      <c r="F31" s="72">
        <f>twentyminutes</f>
        <v>3</v>
      </c>
      <c r="G31" s="72">
        <f>twentyminutes</f>
        <v>3</v>
      </c>
      <c r="H31" s="72">
        <f t="shared" si="34"/>
        <v>4</v>
      </c>
      <c r="I31" s="72">
        <f>twentyminutes</f>
        <v>3</v>
      </c>
      <c r="J31" s="72">
        <f t="shared" ref="J31:J37" si="38">twentyminutes</f>
        <v>3</v>
      </c>
      <c r="K31" s="75">
        <f>twentyminutes</f>
        <v>3</v>
      </c>
      <c r="L31" s="75">
        <f t="shared" si="29"/>
        <v>4</v>
      </c>
      <c r="M31" s="75">
        <f t="shared" si="31"/>
        <v>4</v>
      </c>
      <c r="N31" s="75">
        <f>TenMinutes</f>
        <v>4</v>
      </c>
      <c r="O31" s="75">
        <f>TenMinutes</f>
        <v>4</v>
      </c>
      <c r="P31" s="75">
        <f>twentyminutes</f>
        <v>3</v>
      </c>
      <c r="Q31" s="75">
        <f>TenMinutes</f>
        <v>4</v>
      </c>
      <c r="R31" s="75">
        <f>TenMinutes</f>
        <v>4</v>
      </c>
      <c r="S31" s="75">
        <f>thirtyminutes</f>
        <v>2</v>
      </c>
      <c r="T31" s="75">
        <f>twentyminutes</f>
        <v>3</v>
      </c>
      <c r="U31" s="71">
        <f>Same</f>
        <v>5</v>
      </c>
      <c r="V31" s="57">
        <f>thirtyminutes</f>
        <v>2</v>
      </c>
      <c r="W31" s="57">
        <f>thirtyminutes</f>
        <v>2</v>
      </c>
      <c r="X31" s="57">
        <f>Other</f>
        <v>0</v>
      </c>
      <c r="Y31" s="57">
        <f>Other</f>
        <v>0</v>
      </c>
      <c r="Z31" s="57">
        <f>Other</f>
        <v>0</v>
      </c>
      <c r="AA31" s="57">
        <f>Other</f>
        <v>0</v>
      </c>
      <c r="AB31" s="57">
        <f>thirtyminutes</f>
        <v>2</v>
      </c>
      <c r="AC31" s="57">
        <f t="shared" ref="AC31:AS31" si="39">Other</f>
        <v>0</v>
      </c>
      <c r="AD31" s="57">
        <f t="shared" si="39"/>
        <v>0</v>
      </c>
      <c r="AE31" s="57">
        <f t="shared" si="39"/>
        <v>0</v>
      </c>
      <c r="AF31" s="57">
        <f t="shared" si="39"/>
        <v>0</v>
      </c>
      <c r="AG31" s="57">
        <f t="shared" si="39"/>
        <v>0</v>
      </c>
      <c r="AH31" s="57">
        <f t="shared" si="39"/>
        <v>0</v>
      </c>
      <c r="AI31" s="57">
        <f t="shared" si="39"/>
        <v>0</v>
      </c>
      <c r="AJ31" s="57">
        <f t="shared" si="39"/>
        <v>0</v>
      </c>
      <c r="AK31" s="57">
        <f t="shared" si="39"/>
        <v>0</v>
      </c>
      <c r="AL31" s="57">
        <f t="shared" si="39"/>
        <v>0</v>
      </c>
      <c r="AM31" s="57">
        <f t="shared" si="39"/>
        <v>0</v>
      </c>
      <c r="AN31" s="57">
        <f t="shared" si="39"/>
        <v>0</v>
      </c>
      <c r="AO31" s="57">
        <f t="shared" si="39"/>
        <v>0</v>
      </c>
      <c r="AP31" s="57">
        <f t="shared" si="39"/>
        <v>0</v>
      </c>
      <c r="AQ31" s="57">
        <f t="shared" si="39"/>
        <v>0</v>
      </c>
      <c r="AR31" s="57">
        <f t="shared" si="39"/>
        <v>0</v>
      </c>
      <c r="AS31" s="57">
        <f t="shared" si="39"/>
        <v>0</v>
      </c>
    </row>
    <row r="32" spans="2:45" ht="30">
      <c r="B32" s="64" t="s">
        <v>60</v>
      </c>
      <c r="C32" s="72">
        <f>twentyminutes</f>
        <v>3</v>
      </c>
      <c r="D32" s="72">
        <f>twentyminutes</f>
        <v>3</v>
      </c>
      <c r="E32" s="73">
        <f t="shared" si="19"/>
        <v>3</v>
      </c>
      <c r="F32" s="72">
        <f>twentyminutes</f>
        <v>3</v>
      </c>
      <c r="G32" s="72">
        <f>twentyminutes</f>
        <v>3</v>
      </c>
      <c r="H32" s="72">
        <f>twentyminutes</f>
        <v>3</v>
      </c>
      <c r="I32" s="72">
        <f>twentyminutes</f>
        <v>3</v>
      </c>
      <c r="J32" s="72">
        <f t="shared" si="38"/>
        <v>3</v>
      </c>
      <c r="K32" s="75">
        <f>thirtyminutes</f>
        <v>2</v>
      </c>
      <c r="L32" s="75">
        <f>twentyminutes</f>
        <v>3</v>
      </c>
      <c r="M32" s="75">
        <f>twentyminutes</f>
        <v>3</v>
      </c>
      <c r="N32" s="75">
        <f>thirtyminutes</f>
        <v>2</v>
      </c>
      <c r="O32" s="75">
        <f>thirtyminutes</f>
        <v>2</v>
      </c>
      <c r="P32" s="75">
        <f>thirtyminutes</f>
        <v>2</v>
      </c>
      <c r="Q32" s="75">
        <f>thirtyminutes</f>
        <v>2</v>
      </c>
      <c r="R32" s="75">
        <f>thirtyminutes</f>
        <v>2</v>
      </c>
      <c r="S32" s="75">
        <f>twentyminutes</f>
        <v>3</v>
      </c>
      <c r="T32" s="75">
        <f t="shared" ref="T32:T37" si="40">thirtyminutes</f>
        <v>2</v>
      </c>
      <c r="U32" s="57">
        <f>thirtyminutes</f>
        <v>2</v>
      </c>
      <c r="V32" s="71">
        <f>Same</f>
        <v>5</v>
      </c>
      <c r="W32" s="57">
        <f>TenMinutes</f>
        <v>4</v>
      </c>
      <c r="X32" s="57">
        <f>thirtyminutes</f>
        <v>2</v>
      </c>
      <c r="Y32" s="57">
        <f>new</f>
        <v>3</v>
      </c>
      <c r="Z32" s="57">
        <f>new</f>
        <v>3</v>
      </c>
      <c r="AA32" s="57">
        <f>TenMinutes</f>
        <v>4</v>
      </c>
      <c r="AB32" s="57">
        <f>new</f>
        <v>3</v>
      </c>
      <c r="AC32" s="57">
        <f>TenMinutes</f>
        <v>4</v>
      </c>
      <c r="AD32" s="57">
        <f>new</f>
        <v>3</v>
      </c>
      <c r="AE32" s="57">
        <f>TenMinutes</f>
        <v>4</v>
      </c>
      <c r="AF32" s="57">
        <f>thirtyminutes</f>
        <v>2</v>
      </c>
      <c r="AG32" s="57">
        <f>TenMinutes</f>
        <v>4</v>
      </c>
      <c r="AH32" s="57">
        <f>thirtyminutes</f>
        <v>2</v>
      </c>
      <c r="AI32" s="57">
        <f>thirtyminutes</f>
        <v>2</v>
      </c>
      <c r="AJ32" s="57">
        <f>TenMinutes</f>
        <v>4</v>
      </c>
      <c r="AK32" s="57">
        <f>thirtyminutes</f>
        <v>2</v>
      </c>
      <c r="AL32" s="57">
        <f>new</f>
        <v>3</v>
      </c>
      <c r="AM32" s="57">
        <f>thirtyminutes</f>
        <v>2</v>
      </c>
      <c r="AN32" s="57">
        <f t="shared" ref="AN32:AP33" si="41">Other</f>
        <v>0</v>
      </c>
      <c r="AO32" s="57">
        <f t="shared" si="41"/>
        <v>0</v>
      </c>
      <c r="AP32" s="57">
        <f t="shared" si="41"/>
        <v>0</v>
      </c>
      <c r="AQ32" s="57">
        <f>thirtyminutes</f>
        <v>2</v>
      </c>
      <c r="AR32" s="57">
        <f t="shared" ref="AR32:AR46" si="42">Other</f>
        <v>0</v>
      </c>
      <c r="AS32" s="57">
        <f>thirtyminutes</f>
        <v>2</v>
      </c>
    </row>
    <row r="33" spans="1:45">
      <c r="B33" s="64" t="s">
        <v>158</v>
      </c>
      <c r="C33" s="72">
        <f>twentyminutes</f>
        <v>3</v>
      </c>
      <c r="D33" s="72">
        <f>twentyminutes</f>
        <v>3</v>
      </c>
      <c r="E33" s="73">
        <f t="shared" si="19"/>
        <v>3</v>
      </c>
      <c r="F33" s="72">
        <f>twentyminutes</f>
        <v>3</v>
      </c>
      <c r="G33" s="72">
        <f>twentyminutes</f>
        <v>3</v>
      </c>
      <c r="H33" s="72">
        <f>twentyminutes</f>
        <v>3</v>
      </c>
      <c r="I33" s="72">
        <f t="shared" ref="I33:I38" si="43">TenMinutes</f>
        <v>4</v>
      </c>
      <c r="J33" s="72">
        <f t="shared" si="38"/>
        <v>3</v>
      </c>
      <c r="K33" s="75">
        <f>thirtyminutes</f>
        <v>2</v>
      </c>
      <c r="L33" s="75">
        <f>twentyminutes</f>
        <v>3</v>
      </c>
      <c r="M33" s="75">
        <f>twentyminutes</f>
        <v>3</v>
      </c>
      <c r="N33" s="75">
        <f>thirtyminutes</f>
        <v>2</v>
      </c>
      <c r="O33" s="75">
        <f>thirtyminutes</f>
        <v>2</v>
      </c>
      <c r="P33" s="75">
        <f t="shared" ref="P33:R35" si="44">twentyminutes</f>
        <v>3</v>
      </c>
      <c r="Q33" s="75">
        <f t="shared" si="44"/>
        <v>3</v>
      </c>
      <c r="R33" s="75">
        <f t="shared" si="44"/>
        <v>3</v>
      </c>
      <c r="S33" s="75">
        <f>twentyminutes</f>
        <v>3</v>
      </c>
      <c r="T33" s="75">
        <f t="shared" si="40"/>
        <v>2</v>
      </c>
      <c r="U33" s="57">
        <f>thirtyminutes</f>
        <v>2</v>
      </c>
      <c r="V33" s="57">
        <f>TenMinutes</f>
        <v>4</v>
      </c>
      <c r="W33" s="71">
        <f>Same</f>
        <v>5</v>
      </c>
      <c r="X33" s="57">
        <f>new</f>
        <v>3</v>
      </c>
      <c r="Y33" s="57">
        <f>TenMinutes</f>
        <v>4</v>
      </c>
      <c r="Z33" s="57">
        <f>new</f>
        <v>3</v>
      </c>
      <c r="AA33" s="57">
        <f>TenMinutes</f>
        <v>4</v>
      </c>
      <c r="AB33" s="57">
        <f>TenMinutes</f>
        <v>4</v>
      </c>
      <c r="AC33" s="57">
        <f>TenMinutes</f>
        <v>4</v>
      </c>
      <c r="AD33" s="57">
        <f>TenMinutes</f>
        <v>4</v>
      </c>
      <c r="AE33" s="57">
        <f>TenMinutes</f>
        <v>4</v>
      </c>
      <c r="AF33" s="57">
        <f t="shared" ref="AF33:AH35" si="45">new</f>
        <v>3</v>
      </c>
      <c r="AG33" s="57">
        <f t="shared" si="45"/>
        <v>3</v>
      </c>
      <c r="AH33" s="57">
        <f t="shared" si="45"/>
        <v>3</v>
      </c>
      <c r="AI33" s="57">
        <f>thirtyminutes</f>
        <v>2</v>
      </c>
      <c r="AJ33" s="57">
        <f>new</f>
        <v>3</v>
      </c>
      <c r="AK33" s="57">
        <f>thirtyminutes</f>
        <v>2</v>
      </c>
      <c r="AL33" s="57">
        <f>new</f>
        <v>3</v>
      </c>
      <c r="AM33" s="57">
        <f>thirtyminutes</f>
        <v>2</v>
      </c>
      <c r="AN33" s="57">
        <f t="shared" si="41"/>
        <v>0</v>
      </c>
      <c r="AO33" s="57">
        <f t="shared" si="41"/>
        <v>0</v>
      </c>
      <c r="AP33" s="57">
        <f t="shared" si="41"/>
        <v>0</v>
      </c>
      <c r="AQ33" s="57">
        <f>thirtyminutes</f>
        <v>2</v>
      </c>
      <c r="AR33" s="57">
        <f t="shared" si="42"/>
        <v>0</v>
      </c>
      <c r="AS33" s="57">
        <f>thirtyminutes</f>
        <v>2</v>
      </c>
    </row>
    <row r="34" spans="1:45" s="60" customFormat="1">
      <c r="A34"/>
      <c r="B34" s="65" t="s">
        <v>2</v>
      </c>
      <c r="C34" s="72">
        <f>twentyminutes</f>
        <v>3</v>
      </c>
      <c r="D34" s="72">
        <f t="shared" ref="D34:H35" si="46">TenMinutes</f>
        <v>4</v>
      </c>
      <c r="E34" s="73">
        <f t="shared" si="46"/>
        <v>4</v>
      </c>
      <c r="F34" s="72">
        <f t="shared" si="46"/>
        <v>4</v>
      </c>
      <c r="G34" s="72">
        <f t="shared" si="46"/>
        <v>4</v>
      </c>
      <c r="H34" s="72">
        <f t="shared" si="46"/>
        <v>4</v>
      </c>
      <c r="I34" s="72">
        <f t="shared" si="43"/>
        <v>4</v>
      </c>
      <c r="J34" s="72">
        <f t="shared" si="38"/>
        <v>3</v>
      </c>
      <c r="K34" s="75">
        <f>Other</f>
        <v>0</v>
      </c>
      <c r="L34" s="75">
        <f>thirtyminutes</f>
        <v>2</v>
      </c>
      <c r="M34" s="75">
        <f>thirtyminutes</f>
        <v>2</v>
      </c>
      <c r="N34" s="75">
        <f>twentyminutes</f>
        <v>3</v>
      </c>
      <c r="O34" s="75">
        <f>twentyminutes</f>
        <v>3</v>
      </c>
      <c r="P34" s="75">
        <f t="shared" si="44"/>
        <v>3</v>
      </c>
      <c r="Q34" s="75">
        <f t="shared" si="44"/>
        <v>3</v>
      </c>
      <c r="R34" s="75">
        <f t="shared" si="44"/>
        <v>3</v>
      </c>
      <c r="S34" s="75">
        <f>twentyminutes</f>
        <v>3</v>
      </c>
      <c r="T34" s="75">
        <f t="shared" si="40"/>
        <v>2</v>
      </c>
      <c r="U34" s="57">
        <f>Other</f>
        <v>0</v>
      </c>
      <c r="V34" s="57">
        <f>thirtyminutes</f>
        <v>2</v>
      </c>
      <c r="W34" s="57">
        <f>new</f>
        <v>3</v>
      </c>
      <c r="X34" s="71">
        <f>Same</f>
        <v>5</v>
      </c>
      <c r="Y34" s="57">
        <f>TenMinutes</f>
        <v>4</v>
      </c>
      <c r="Z34" s="57">
        <f>TenMinutes</f>
        <v>4</v>
      </c>
      <c r="AA34" s="57">
        <f>TenMinutes</f>
        <v>4</v>
      </c>
      <c r="AB34" s="57">
        <f>TenMinutes</f>
        <v>4</v>
      </c>
      <c r="AC34" s="57">
        <f>thirtyminutes</f>
        <v>2</v>
      </c>
      <c r="AD34" s="57">
        <f>new</f>
        <v>3</v>
      </c>
      <c r="AE34" s="57">
        <f>new</f>
        <v>3</v>
      </c>
      <c r="AF34" s="57">
        <f t="shared" si="45"/>
        <v>3</v>
      </c>
      <c r="AG34" s="57">
        <f t="shared" si="45"/>
        <v>3</v>
      </c>
      <c r="AH34" s="57">
        <f t="shared" si="45"/>
        <v>3</v>
      </c>
      <c r="AI34" s="57">
        <f>new</f>
        <v>3</v>
      </c>
      <c r="AJ34" s="57">
        <f t="shared" ref="AJ34:AM35" si="47">Other</f>
        <v>0</v>
      </c>
      <c r="AK34" s="57">
        <f t="shared" si="47"/>
        <v>0</v>
      </c>
      <c r="AL34" s="57">
        <f t="shared" si="47"/>
        <v>0</v>
      </c>
      <c r="AM34" s="57">
        <f t="shared" si="47"/>
        <v>0</v>
      </c>
      <c r="AN34" s="57">
        <f>thirtyminutes</f>
        <v>2</v>
      </c>
      <c r="AO34" s="57">
        <f t="shared" ref="AO34:AQ38" si="48">Other</f>
        <v>0</v>
      </c>
      <c r="AP34" s="57">
        <f t="shared" si="48"/>
        <v>0</v>
      </c>
      <c r="AQ34" s="57">
        <f t="shared" si="48"/>
        <v>0</v>
      </c>
      <c r="AR34" s="57">
        <f t="shared" si="42"/>
        <v>0</v>
      </c>
      <c r="AS34" s="57">
        <f>Other</f>
        <v>0</v>
      </c>
    </row>
    <row r="35" spans="1:45" s="60" customFormat="1">
      <c r="A35"/>
      <c r="B35" s="65" t="s">
        <v>1</v>
      </c>
      <c r="C35" s="72">
        <f>twentyminutes</f>
        <v>3</v>
      </c>
      <c r="D35" s="72">
        <f t="shared" si="46"/>
        <v>4</v>
      </c>
      <c r="E35" s="73">
        <f t="shared" si="46"/>
        <v>4</v>
      </c>
      <c r="F35" s="72">
        <f t="shared" si="46"/>
        <v>4</v>
      </c>
      <c r="G35" s="72">
        <f t="shared" si="46"/>
        <v>4</v>
      </c>
      <c r="H35" s="72">
        <f t="shared" si="46"/>
        <v>4</v>
      </c>
      <c r="I35" s="72">
        <f t="shared" si="43"/>
        <v>4</v>
      </c>
      <c r="J35" s="72">
        <f t="shared" si="38"/>
        <v>3</v>
      </c>
      <c r="K35" s="75">
        <f>thirtyminutes</f>
        <v>2</v>
      </c>
      <c r="L35" s="75">
        <f>thirtyminutes</f>
        <v>2</v>
      </c>
      <c r="M35" s="75">
        <f>thirtyminutes</f>
        <v>2</v>
      </c>
      <c r="N35" s="75">
        <f>twentyminutes</f>
        <v>3</v>
      </c>
      <c r="O35" s="75">
        <f>thirtyminutes</f>
        <v>2</v>
      </c>
      <c r="P35" s="75">
        <f t="shared" si="44"/>
        <v>3</v>
      </c>
      <c r="Q35" s="75">
        <f t="shared" si="44"/>
        <v>3</v>
      </c>
      <c r="R35" s="75">
        <f t="shared" si="44"/>
        <v>3</v>
      </c>
      <c r="S35" s="75">
        <f>twentyminutes</f>
        <v>3</v>
      </c>
      <c r="T35" s="75">
        <f t="shared" si="40"/>
        <v>2</v>
      </c>
      <c r="U35" s="57">
        <f>Other</f>
        <v>0</v>
      </c>
      <c r="V35" s="57">
        <f>new</f>
        <v>3</v>
      </c>
      <c r="W35" s="57">
        <f>TenMinutes</f>
        <v>4</v>
      </c>
      <c r="X35" s="57">
        <f>TenMinutes</f>
        <v>4</v>
      </c>
      <c r="Y35" s="71">
        <f>Same</f>
        <v>5</v>
      </c>
      <c r="Z35" s="57">
        <f>TenMinutes</f>
        <v>4</v>
      </c>
      <c r="AA35" s="57">
        <f>TenMinutes</f>
        <v>4</v>
      </c>
      <c r="AB35" s="57">
        <f>TenMinutes</f>
        <v>4</v>
      </c>
      <c r="AC35" s="57">
        <f>new</f>
        <v>3</v>
      </c>
      <c r="AD35" s="57">
        <f>new</f>
        <v>3</v>
      </c>
      <c r="AE35" s="57">
        <f>new</f>
        <v>3</v>
      </c>
      <c r="AF35" s="57">
        <f t="shared" si="45"/>
        <v>3</v>
      </c>
      <c r="AG35" s="57">
        <f t="shared" si="45"/>
        <v>3</v>
      </c>
      <c r="AH35" s="57">
        <f t="shared" si="45"/>
        <v>3</v>
      </c>
      <c r="AI35" s="57">
        <f>new</f>
        <v>3</v>
      </c>
      <c r="AJ35" s="57">
        <f t="shared" si="47"/>
        <v>0</v>
      </c>
      <c r="AK35" s="57">
        <f t="shared" si="47"/>
        <v>0</v>
      </c>
      <c r="AL35" s="57">
        <f t="shared" si="47"/>
        <v>0</v>
      </c>
      <c r="AM35" s="57">
        <f t="shared" si="47"/>
        <v>0</v>
      </c>
      <c r="AN35" s="57">
        <f>thirtyminutes</f>
        <v>2</v>
      </c>
      <c r="AO35" s="57">
        <f t="shared" si="48"/>
        <v>0</v>
      </c>
      <c r="AP35" s="57">
        <f t="shared" si="48"/>
        <v>0</v>
      </c>
      <c r="AQ35" s="57">
        <f t="shared" si="48"/>
        <v>0</v>
      </c>
      <c r="AR35" s="57">
        <f t="shared" si="42"/>
        <v>0</v>
      </c>
      <c r="AS35" s="57">
        <f>Other</f>
        <v>0</v>
      </c>
    </row>
    <row r="36" spans="1:45" s="60" customFormat="1">
      <c r="A36"/>
      <c r="B36" s="65" t="s">
        <v>61</v>
      </c>
      <c r="C36" s="72">
        <f>thirtyminutes</f>
        <v>2</v>
      </c>
      <c r="D36" s="72">
        <f>twentyminutes</f>
        <v>3</v>
      </c>
      <c r="E36" s="73">
        <f t="shared" ref="E36:E41" si="49">TenMinutes</f>
        <v>4</v>
      </c>
      <c r="F36" s="72">
        <f>twentyminutes</f>
        <v>3</v>
      </c>
      <c r="G36" s="72">
        <f>twentyminutes</f>
        <v>3</v>
      </c>
      <c r="H36" s="72">
        <f>twentyminutes</f>
        <v>3</v>
      </c>
      <c r="I36" s="72">
        <f t="shared" si="43"/>
        <v>4</v>
      </c>
      <c r="J36" s="72">
        <f t="shared" si="38"/>
        <v>3</v>
      </c>
      <c r="K36" s="75">
        <f t="shared" ref="K36:S36" si="50">Other</f>
        <v>0</v>
      </c>
      <c r="L36" s="75">
        <f t="shared" si="50"/>
        <v>0</v>
      </c>
      <c r="M36" s="75">
        <f t="shared" si="50"/>
        <v>0</v>
      </c>
      <c r="N36" s="75">
        <f t="shared" si="50"/>
        <v>0</v>
      </c>
      <c r="O36" s="75">
        <f t="shared" si="50"/>
        <v>0</v>
      </c>
      <c r="P36" s="75">
        <f t="shared" si="50"/>
        <v>0</v>
      </c>
      <c r="Q36" s="75">
        <f t="shared" si="50"/>
        <v>0</v>
      </c>
      <c r="R36" s="75">
        <f t="shared" si="50"/>
        <v>0</v>
      </c>
      <c r="S36" s="75">
        <f t="shared" si="50"/>
        <v>0</v>
      </c>
      <c r="T36" s="75">
        <f t="shared" si="40"/>
        <v>2</v>
      </c>
      <c r="U36" s="57">
        <f>Other</f>
        <v>0</v>
      </c>
      <c r="V36" s="57">
        <f>new</f>
        <v>3</v>
      </c>
      <c r="W36" s="57">
        <f>new</f>
        <v>3</v>
      </c>
      <c r="X36" s="57">
        <f t="shared" ref="X36:Y38" si="51">TenMinutes</f>
        <v>4</v>
      </c>
      <c r="Y36" s="57">
        <f t="shared" si="51"/>
        <v>4</v>
      </c>
      <c r="Z36" s="71">
        <f>Same</f>
        <v>5</v>
      </c>
      <c r="AA36" s="57">
        <f>TenMinutes</f>
        <v>4</v>
      </c>
      <c r="AB36" s="57">
        <f>new</f>
        <v>3</v>
      </c>
      <c r="AC36" s="57">
        <f>thirtyminutes</f>
        <v>2</v>
      </c>
      <c r="AD36" s="57">
        <f>thirtyminutes</f>
        <v>2</v>
      </c>
      <c r="AE36" s="57">
        <f>thirtyminutes</f>
        <v>2</v>
      </c>
      <c r="AF36" s="57">
        <f>new</f>
        <v>3</v>
      </c>
      <c r="AG36" s="57">
        <f>TenMinutes</f>
        <v>4</v>
      </c>
      <c r="AH36" s="57">
        <f>new</f>
        <v>3</v>
      </c>
      <c r="AI36" s="57">
        <f>new</f>
        <v>3</v>
      </c>
      <c r="AJ36" s="57">
        <f>thirtyminutes</f>
        <v>2</v>
      </c>
      <c r="AK36" s="57">
        <f t="shared" ref="AK36:AM37" si="52">Other</f>
        <v>0</v>
      </c>
      <c r="AL36" s="57">
        <f t="shared" si="52"/>
        <v>0</v>
      </c>
      <c r="AM36" s="57">
        <f t="shared" si="52"/>
        <v>0</v>
      </c>
      <c r="AN36" s="57">
        <f>thirtyminutes</f>
        <v>2</v>
      </c>
      <c r="AO36" s="57">
        <f t="shared" si="48"/>
        <v>0</v>
      </c>
      <c r="AP36" s="57">
        <f t="shared" si="48"/>
        <v>0</v>
      </c>
      <c r="AQ36" s="57">
        <f t="shared" si="48"/>
        <v>0</v>
      </c>
      <c r="AR36" s="57">
        <f t="shared" si="42"/>
        <v>0</v>
      </c>
      <c r="AS36" s="57">
        <f>Other</f>
        <v>0</v>
      </c>
    </row>
    <row r="37" spans="1:45" s="60" customFormat="1">
      <c r="A37"/>
      <c r="B37" s="65" t="s">
        <v>0</v>
      </c>
      <c r="C37" s="72">
        <f>twentyminutes</f>
        <v>3</v>
      </c>
      <c r="D37" s="72">
        <f>twentyminutes</f>
        <v>3</v>
      </c>
      <c r="E37" s="73">
        <f t="shared" si="49"/>
        <v>4</v>
      </c>
      <c r="F37" s="72">
        <f>TenMinutes</f>
        <v>4</v>
      </c>
      <c r="G37" s="72">
        <f>twentyminutes</f>
        <v>3</v>
      </c>
      <c r="H37" s="72">
        <f>TenMinutes</f>
        <v>4</v>
      </c>
      <c r="I37" s="72">
        <f t="shared" si="43"/>
        <v>4</v>
      </c>
      <c r="J37" s="72">
        <f t="shared" si="38"/>
        <v>3</v>
      </c>
      <c r="K37" s="75">
        <f>Other</f>
        <v>0</v>
      </c>
      <c r="L37" s="75">
        <f t="shared" ref="L37:R37" si="53">thirtyminutes</f>
        <v>2</v>
      </c>
      <c r="M37" s="75">
        <f t="shared" si="53"/>
        <v>2</v>
      </c>
      <c r="N37" s="75">
        <f t="shared" si="53"/>
        <v>2</v>
      </c>
      <c r="O37" s="75">
        <f t="shared" si="53"/>
        <v>2</v>
      </c>
      <c r="P37" s="75">
        <f t="shared" si="53"/>
        <v>2</v>
      </c>
      <c r="Q37" s="75">
        <f t="shared" si="53"/>
        <v>2</v>
      </c>
      <c r="R37" s="75">
        <f t="shared" si="53"/>
        <v>2</v>
      </c>
      <c r="S37" s="75">
        <f>twentyminutes</f>
        <v>3</v>
      </c>
      <c r="T37" s="75">
        <f t="shared" si="40"/>
        <v>2</v>
      </c>
      <c r="U37" s="57">
        <f>Other</f>
        <v>0</v>
      </c>
      <c r="V37" s="57">
        <f>TenMinutes</f>
        <v>4</v>
      </c>
      <c r="W37" s="57">
        <f>TenMinutes</f>
        <v>4</v>
      </c>
      <c r="X37" s="57">
        <f t="shared" si="51"/>
        <v>4</v>
      </c>
      <c r="Y37" s="57">
        <f t="shared" si="51"/>
        <v>4</v>
      </c>
      <c r="Z37" s="57">
        <f>TenMinutes</f>
        <v>4</v>
      </c>
      <c r="AA37" s="71">
        <f>Same</f>
        <v>5</v>
      </c>
      <c r="AB37" s="57">
        <f>TenMinutes</f>
        <v>4</v>
      </c>
      <c r="AC37" s="57">
        <f>new</f>
        <v>3</v>
      </c>
      <c r="AD37" s="57">
        <f>new</f>
        <v>3</v>
      </c>
      <c r="AE37" s="57">
        <f>new</f>
        <v>3</v>
      </c>
      <c r="AF37" s="57">
        <f>new</f>
        <v>3</v>
      </c>
      <c r="AG37" s="57">
        <f>TenMinutes</f>
        <v>4</v>
      </c>
      <c r="AH37" s="57">
        <f>new</f>
        <v>3</v>
      </c>
      <c r="AI37" s="57">
        <f>new</f>
        <v>3</v>
      </c>
      <c r="AJ37" s="57">
        <f>thirtyminutes</f>
        <v>2</v>
      </c>
      <c r="AK37" s="57">
        <f t="shared" si="52"/>
        <v>0</v>
      </c>
      <c r="AL37" s="57">
        <f t="shared" si="52"/>
        <v>0</v>
      </c>
      <c r="AM37" s="57">
        <f t="shared" si="52"/>
        <v>0</v>
      </c>
      <c r="AN37" s="57">
        <f>thirtyminutes</f>
        <v>2</v>
      </c>
      <c r="AO37" s="57">
        <f t="shared" si="48"/>
        <v>0</v>
      </c>
      <c r="AP37" s="57">
        <f t="shared" si="48"/>
        <v>0</v>
      </c>
      <c r="AQ37" s="57">
        <f t="shared" si="48"/>
        <v>0</v>
      </c>
      <c r="AR37" s="57">
        <f t="shared" si="42"/>
        <v>0</v>
      </c>
      <c r="AS37" s="57">
        <f>Other</f>
        <v>0</v>
      </c>
    </row>
    <row r="38" spans="1:45" s="60" customFormat="1">
      <c r="A38"/>
      <c r="B38" s="65" t="s">
        <v>159</v>
      </c>
      <c r="C38" s="72">
        <f>TenMinutes</f>
        <v>4</v>
      </c>
      <c r="D38" s="72">
        <f>twentyminutes</f>
        <v>3</v>
      </c>
      <c r="E38" s="73">
        <f t="shared" si="49"/>
        <v>4</v>
      </c>
      <c r="F38" s="72">
        <f>TenMinutes</f>
        <v>4</v>
      </c>
      <c r="G38" s="72">
        <f>TenMinutes</f>
        <v>4</v>
      </c>
      <c r="H38" s="72">
        <f>TenMinutes</f>
        <v>4</v>
      </c>
      <c r="I38" s="72">
        <f t="shared" si="43"/>
        <v>4</v>
      </c>
      <c r="J38" s="72">
        <f>TenMinutes</f>
        <v>4</v>
      </c>
      <c r="K38" s="75">
        <f>thirtyminutes</f>
        <v>2</v>
      </c>
      <c r="L38" s="75">
        <f t="shared" ref="L38:R38" si="54">twentyminutes</f>
        <v>3</v>
      </c>
      <c r="M38" s="75">
        <f t="shared" si="54"/>
        <v>3</v>
      </c>
      <c r="N38" s="75">
        <f t="shared" si="54"/>
        <v>3</v>
      </c>
      <c r="O38" s="75">
        <f t="shared" si="54"/>
        <v>3</v>
      </c>
      <c r="P38" s="75">
        <f t="shared" si="54"/>
        <v>3</v>
      </c>
      <c r="Q38" s="75">
        <f t="shared" si="54"/>
        <v>3</v>
      </c>
      <c r="R38" s="75">
        <f t="shared" si="54"/>
        <v>3</v>
      </c>
      <c r="S38" s="75">
        <f>twentyminutes</f>
        <v>3</v>
      </c>
      <c r="T38" s="75">
        <f>twentyminutes</f>
        <v>3</v>
      </c>
      <c r="U38" s="57">
        <f>thirtyminutes</f>
        <v>2</v>
      </c>
      <c r="V38" s="57">
        <f>new</f>
        <v>3</v>
      </c>
      <c r="W38" s="57">
        <f>TenMinutes</f>
        <v>4</v>
      </c>
      <c r="X38" s="57">
        <f t="shared" si="51"/>
        <v>4</v>
      </c>
      <c r="Y38" s="57">
        <f t="shared" si="51"/>
        <v>4</v>
      </c>
      <c r="Z38" s="57">
        <f>new</f>
        <v>3</v>
      </c>
      <c r="AA38" s="57">
        <f>TenMinutes</f>
        <v>4</v>
      </c>
      <c r="AB38" s="71">
        <f>Same</f>
        <v>5</v>
      </c>
      <c r="AC38" s="57">
        <f>new</f>
        <v>3</v>
      </c>
      <c r="AD38" s="57">
        <f>TenMinutes</f>
        <v>4</v>
      </c>
      <c r="AE38" s="57">
        <f>TenMinutes</f>
        <v>4</v>
      </c>
      <c r="AF38" s="57">
        <f>thirtyminutes</f>
        <v>2</v>
      </c>
      <c r="AG38" s="57">
        <f>new</f>
        <v>3</v>
      </c>
      <c r="AH38" s="57">
        <f t="shared" ref="AH38:AI41" si="55">thirtyminutes</f>
        <v>2</v>
      </c>
      <c r="AI38" s="57">
        <f t="shared" si="55"/>
        <v>2</v>
      </c>
      <c r="AJ38" s="57">
        <f>new</f>
        <v>3</v>
      </c>
      <c r="AK38" s="57">
        <f>thirtyminutes</f>
        <v>2</v>
      </c>
      <c r="AL38" s="57">
        <f>thirtyminutes</f>
        <v>2</v>
      </c>
      <c r="AM38" s="57">
        <f>Other</f>
        <v>0</v>
      </c>
      <c r="AN38" s="57">
        <f>thirtyminutes</f>
        <v>2</v>
      </c>
      <c r="AO38" s="57">
        <f t="shared" si="48"/>
        <v>0</v>
      </c>
      <c r="AP38" s="57">
        <f t="shared" si="48"/>
        <v>0</v>
      </c>
      <c r="AQ38" s="57">
        <f t="shared" si="48"/>
        <v>0</v>
      </c>
      <c r="AR38" s="57">
        <f t="shared" si="42"/>
        <v>0</v>
      </c>
      <c r="AS38" s="57">
        <f>Other</f>
        <v>0</v>
      </c>
    </row>
    <row r="39" spans="1:45" s="60" customFormat="1">
      <c r="A39"/>
      <c r="B39" s="66" t="s">
        <v>155</v>
      </c>
      <c r="C39" s="72">
        <f>TenMinutes</f>
        <v>4</v>
      </c>
      <c r="D39" s="72">
        <f>thirtyminutes</f>
        <v>2</v>
      </c>
      <c r="E39" s="73">
        <f t="shared" si="49"/>
        <v>4</v>
      </c>
      <c r="F39" s="72">
        <f t="shared" ref="F39:I41" si="56">twentyminutes</f>
        <v>3</v>
      </c>
      <c r="G39" s="72">
        <f t="shared" si="56"/>
        <v>3</v>
      </c>
      <c r="H39" s="72">
        <f t="shared" si="56"/>
        <v>3</v>
      </c>
      <c r="I39" s="72">
        <f t="shared" si="56"/>
        <v>3</v>
      </c>
      <c r="J39" s="72">
        <f>TenMinutes</f>
        <v>4</v>
      </c>
      <c r="K39" s="75">
        <f t="shared" ref="K39:M41" si="57">twentyminutes</f>
        <v>3</v>
      </c>
      <c r="L39" s="75">
        <f t="shared" si="57"/>
        <v>3</v>
      </c>
      <c r="M39" s="75">
        <f t="shared" si="57"/>
        <v>3</v>
      </c>
      <c r="N39" s="75">
        <f t="shared" ref="N39:R48" si="58">thirtyminutes</f>
        <v>2</v>
      </c>
      <c r="O39" s="75">
        <f t="shared" si="58"/>
        <v>2</v>
      </c>
      <c r="P39" s="75">
        <f t="shared" si="58"/>
        <v>2</v>
      </c>
      <c r="Q39" s="75">
        <f t="shared" si="58"/>
        <v>2</v>
      </c>
      <c r="R39" s="75">
        <f t="shared" si="58"/>
        <v>2</v>
      </c>
      <c r="S39" s="75">
        <f>twentyminutes</f>
        <v>3</v>
      </c>
      <c r="T39" s="75">
        <f>twentyminutes</f>
        <v>3</v>
      </c>
      <c r="U39" s="57">
        <f t="shared" ref="U39:U55" si="59">Other</f>
        <v>0</v>
      </c>
      <c r="V39" s="57">
        <f>TenMinutes</f>
        <v>4</v>
      </c>
      <c r="W39" s="57">
        <f>TenMinutes</f>
        <v>4</v>
      </c>
      <c r="X39" s="57">
        <f>thirtyminutes</f>
        <v>2</v>
      </c>
      <c r="Y39" s="57">
        <f t="shared" ref="Y39:Y45" si="60">new</f>
        <v>3</v>
      </c>
      <c r="Z39" s="57">
        <f>thirtyminutes</f>
        <v>2</v>
      </c>
      <c r="AA39" s="57">
        <f>new</f>
        <v>3</v>
      </c>
      <c r="AB39" s="57">
        <f>new</f>
        <v>3</v>
      </c>
      <c r="AC39" s="71">
        <f>Same</f>
        <v>5</v>
      </c>
      <c r="AD39" s="57">
        <f>TenMinutes</f>
        <v>4</v>
      </c>
      <c r="AE39" s="57">
        <f>TenMinutes</f>
        <v>4</v>
      </c>
      <c r="AF39" s="57">
        <f>thirtyminutes</f>
        <v>2</v>
      </c>
      <c r="AG39" s="57">
        <f>thirtyminutes</f>
        <v>2</v>
      </c>
      <c r="AH39" s="57">
        <f t="shared" si="55"/>
        <v>2</v>
      </c>
      <c r="AI39" s="57">
        <f t="shared" si="55"/>
        <v>2</v>
      </c>
      <c r="AJ39" s="57">
        <f>TenMinutes</f>
        <v>4</v>
      </c>
      <c r="AK39" s="57">
        <f>new</f>
        <v>3</v>
      </c>
      <c r="AL39" s="57">
        <f>new</f>
        <v>3</v>
      </c>
      <c r="AM39" s="57">
        <f t="shared" ref="AM39:AM46" si="61">thirtyminutes</f>
        <v>2</v>
      </c>
      <c r="AN39" s="57">
        <f t="shared" ref="AN39:AP41" si="62">Other</f>
        <v>0</v>
      </c>
      <c r="AO39" s="57">
        <f t="shared" si="62"/>
        <v>0</v>
      </c>
      <c r="AP39" s="57">
        <f t="shared" si="62"/>
        <v>0</v>
      </c>
      <c r="AQ39" s="57">
        <f>thirtyminutes</f>
        <v>2</v>
      </c>
      <c r="AR39" s="57">
        <f t="shared" si="42"/>
        <v>0</v>
      </c>
      <c r="AS39" s="57">
        <f>thirtyminutes</f>
        <v>2</v>
      </c>
    </row>
    <row r="40" spans="1:45" s="60" customFormat="1">
      <c r="A40"/>
      <c r="B40" s="66" t="s">
        <v>62</v>
      </c>
      <c r="C40" s="72">
        <f>TenMinutes</f>
        <v>4</v>
      </c>
      <c r="D40" s="72">
        <f>twentyminutes</f>
        <v>3</v>
      </c>
      <c r="E40" s="73">
        <f t="shared" si="49"/>
        <v>4</v>
      </c>
      <c r="F40" s="72">
        <f t="shared" si="56"/>
        <v>3</v>
      </c>
      <c r="G40" s="72">
        <f t="shared" si="56"/>
        <v>3</v>
      </c>
      <c r="H40" s="72">
        <f t="shared" si="56"/>
        <v>3</v>
      </c>
      <c r="I40" s="72">
        <f t="shared" si="56"/>
        <v>3</v>
      </c>
      <c r="J40" s="72">
        <f>TenMinutes</f>
        <v>4</v>
      </c>
      <c r="K40" s="75">
        <f t="shared" si="57"/>
        <v>3</v>
      </c>
      <c r="L40" s="75">
        <f t="shared" si="57"/>
        <v>3</v>
      </c>
      <c r="M40" s="75">
        <f t="shared" si="57"/>
        <v>3</v>
      </c>
      <c r="N40" s="75">
        <f t="shared" si="58"/>
        <v>2</v>
      </c>
      <c r="O40" s="75">
        <f t="shared" si="58"/>
        <v>2</v>
      </c>
      <c r="P40" s="75">
        <f t="shared" si="58"/>
        <v>2</v>
      </c>
      <c r="Q40" s="75">
        <f t="shared" si="58"/>
        <v>2</v>
      </c>
      <c r="R40" s="75">
        <f t="shared" si="58"/>
        <v>2</v>
      </c>
      <c r="S40" s="75">
        <f>twentyminutes</f>
        <v>3</v>
      </c>
      <c r="T40" s="75">
        <f>twentyminutes</f>
        <v>3</v>
      </c>
      <c r="U40" s="57">
        <f t="shared" si="59"/>
        <v>0</v>
      </c>
      <c r="V40" s="57">
        <f>new</f>
        <v>3</v>
      </c>
      <c r="W40" s="57">
        <f>TenMinutes</f>
        <v>4</v>
      </c>
      <c r="X40" s="57">
        <f t="shared" ref="X40:X45" si="63">new</f>
        <v>3</v>
      </c>
      <c r="Y40" s="57">
        <f t="shared" si="60"/>
        <v>3</v>
      </c>
      <c r="Z40" s="57">
        <f>thirtyminutes</f>
        <v>2</v>
      </c>
      <c r="AA40" s="57">
        <f>new</f>
        <v>3</v>
      </c>
      <c r="AB40" s="57">
        <f>TenMinutes</f>
        <v>4</v>
      </c>
      <c r="AC40" s="57">
        <f>TenMinutes</f>
        <v>4</v>
      </c>
      <c r="AD40" s="71">
        <f>Same</f>
        <v>5</v>
      </c>
      <c r="AE40" s="57">
        <f>TenMinutes</f>
        <v>4</v>
      </c>
      <c r="AF40" s="57">
        <f>thirtyminutes</f>
        <v>2</v>
      </c>
      <c r="AG40" s="57">
        <f>thirtyminutes</f>
        <v>2</v>
      </c>
      <c r="AH40" s="57">
        <f t="shared" si="55"/>
        <v>2</v>
      </c>
      <c r="AI40" s="57">
        <f t="shared" si="55"/>
        <v>2</v>
      </c>
      <c r="AJ40" s="57">
        <f>new</f>
        <v>3</v>
      </c>
      <c r="AK40" s="57">
        <f>thirtyminutes</f>
        <v>2</v>
      </c>
      <c r="AL40" s="57">
        <f>thirtyminutes</f>
        <v>2</v>
      </c>
      <c r="AM40" s="57">
        <f t="shared" si="61"/>
        <v>2</v>
      </c>
      <c r="AN40" s="57">
        <f t="shared" si="62"/>
        <v>0</v>
      </c>
      <c r="AO40" s="57">
        <f t="shared" si="62"/>
        <v>0</v>
      </c>
      <c r="AP40" s="57">
        <f t="shared" si="62"/>
        <v>0</v>
      </c>
      <c r="AQ40" s="57">
        <f>thirtyminutes</f>
        <v>2</v>
      </c>
      <c r="AR40" s="57">
        <f t="shared" si="42"/>
        <v>0</v>
      </c>
      <c r="AS40" s="57">
        <f>thirtyminutes</f>
        <v>2</v>
      </c>
    </row>
    <row r="41" spans="1:45" s="60" customFormat="1">
      <c r="A41"/>
      <c r="B41" s="66" t="s">
        <v>157</v>
      </c>
      <c r="C41" s="72">
        <f>TenMinutes</f>
        <v>4</v>
      </c>
      <c r="D41" s="72">
        <f>thirtyminutes</f>
        <v>2</v>
      </c>
      <c r="E41" s="74">
        <f t="shared" si="49"/>
        <v>4</v>
      </c>
      <c r="F41" s="72">
        <f t="shared" si="56"/>
        <v>3</v>
      </c>
      <c r="G41" s="72">
        <f t="shared" si="56"/>
        <v>3</v>
      </c>
      <c r="H41" s="72">
        <f t="shared" si="56"/>
        <v>3</v>
      </c>
      <c r="I41" s="72">
        <f t="shared" si="56"/>
        <v>3</v>
      </c>
      <c r="J41" s="72">
        <f>TenMinutes</f>
        <v>4</v>
      </c>
      <c r="K41" s="75">
        <f t="shared" si="57"/>
        <v>3</v>
      </c>
      <c r="L41" s="75">
        <f t="shared" si="57"/>
        <v>3</v>
      </c>
      <c r="M41" s="75">
        <f t="shared" si="57"/>
        <v>3</v>
      </c>
      <c r="N41" s="75">
        <f t="shared" si="58"/>
        <v>2</v>
      </c>
      <c r="O41" s="75">
        <f t="shared" si="58"/>
        <v>2</v>
      </c>
      <c r="P41" s="75">
        <f t="shared" si="58"/>
        <v>2</v>
      </c>
      <c r="Q41" s="75">
        <f t="shared" si="58"/>
        <v>2</v>
      </c>
      <c r="R41" s="75">
        <f t="shared" si="58"/>
        <v>2</v>
      </c>
      <c r="S41" s="75">
        <f>twentyminutes</f>
        <v>3</v>
      </c>
      <c r="T41" s="75">
        <f>twentyminutes</f>
        <v>3</v>
      </c>
      <c r="U41" s="57">
        <f t="shared" si="59"/>
        <v>0</v>
      </c>
      <c r="V41" s="57">
        <f>TenMinutes</f>
        <v>4</v>
      </c>
      <c r="W41" s="57">
        <f>TenMinutes</f>
        <v>4</v>
      </c>
      <c r="X41" s="57">
        <f t="shared" si="63"/>
        <v>3</v>
      </c>
      <c r="Y41" s="57">
        <f t="shared" si="60"/>
        <v>3</v>
      </c>
      <c r="Z41" s="57">
        <f>thirtyminutes</f>
        <v>2</v>
      </c>
      <c r="AA41" s="57">
        <f>new</f>
        <v>3</v>
      </c>
      <c r="AB41" s="57">
        <f>TenMinutes</f>
        <v>4</v>
      </c>
      <c r="AC41" s="57">
        <f>TenMinutes</f>
        <v>4</v>
      </c>
      <c r="AD41" s="57">
        <f>TenMinutes</f>
        <v>4</v>
      </c>
      <c r="AE41" s="71">
        <f>Same</f>
        <v>5</v>
      </c>
      <c r="AF41" s="57">
        <f>thirtyminutes</f>
        <v>2</v>
      </c>
      <c r="AG41" s="57">
        <f>TenMinutes</f>
        <v>4</v>
      </c>
      <c r="AH41" s="57">
        <f t="shared" si="55"/>
        <v>2</v>
      </c>
      <c r="AI41" s="57">
        <f t="shared" si="55"/>
        <v>2</v>
      </c>
      <c r="AJ41" s="57">
        <f>TenMinutes</f>
        <v>4</v>
      </c>
      <c r="AK41" s="57">
        <f>thirtyminutes</f>
        <v>2</v>
      </c>
      <c r="AL41" s="57">
        <f>new</f>
        <v>3</v>
      </c>
      <c r="AM41" s="57">
        <f t="shared" si="61"/>
        <v>2</v>
      </c>
      <c r="AN41" s="57">
        <f t="shared" si="62"/>
        <v>0</v>
      </c>
      <c r="AO41" s="57">
        <f t="shared" si="62"/>
        <v>0</v>
      </c>
      <c r="AP41" s="57">
        <f t="shared" si="62"/>
        <v>0</v>
      </c>
      <c r="AQ41" s="57">
        <f>thirtyminutes</f>
        <v>2</v>
      </c>
      <c r="AR41" s="57">
        <f t="shared" si="42"/>
        <v>0</v>
      </c>
      <c r="AS41" s="57">
        <f>thirtyminutes</f>
        <v>2</v>
      </c>
    </row>
    <row r="42" spans="1:45" s="60" customFormat="1">
      <c r="A42"/>
      <c r="B42" s="67" t="s">
        <v>65</v>
      </c>
      <c r="C42" s="72">
        <f>thirtyminutes</f>
        <v>2</v>
      </c>
      <c r="D42" s="72">
        <f>thirtyminutes</f>
        <v>2</v>
      </c>
      <c r="E42" s="74">
        <f t="shared" ref="E42:F45" si="64">twentyminutes</f>
        <v>3</v>
      </c>
      <c r="F42" s="72">
        <f t="shared" si="64"/>
        <v>3</v>
      </c>
      <c r="G42" s="72">
        <f>thirtyminutes</f>
        <v>2</v>
      </c>
      <c r="H42" s="72">
        <f>thirtyminutes</f>
        <v>2</v>
      </c>
      <c r="I42" s="72">
        <f>twentyminutes</f>
        <v>3</v>
      </c>
      <c r="J42" s="72">
        <f>thirtyminutes</f>
        <v>2</v>
      </c>
      <c r="K42" s="75">
        <f>Other</f>
        <v>0</v>
      </c>
      <c r="L42" s="75">
        <f t="shared" ref="L42:M44" si="65">thirtyminutes</f>
        <v>2</v>
      </c>
      <c r="M42" s="75">
        <f t="shared" si="65"/>
        <v>2</v>
      </c>
      <c r="N42" s="75">
        <f t="shared" si="58"/>
        <v>2</v>
      </c>
      <c r="O42" s="75">
        <f t="shared" si="58"/>
        <v>2</v>
      </c>
      <c r="P42" s="75">
        <f t="shared" si="58"/>
        <v>2</v>
      </c>
      <c r="Q42" s="75">
        <f t="shared" si="58"/>
        <v>2</v>
      </c>
      <c r="R42" s="75">
        <f t="shared" si="58"/>
        <v>2</v>
      </c>
      <c r="S42" s="75">
        <f t="shared" ref="S42:T48" si="66">thirtyminutes</f>
        <v>2</v>
      </c>
      <c r="T42" s="75">
        <f t="shared" si="66"/>
        <v>2</v>
      </c>
      <c r="U42" s="57">
        <f t="shared" si="59"/>
        <v>0</v>
      </c>
      <c r="V42" s="57">
        <f>thirtyminutes</f>
        <v>2</v>
      </c>
      <c r="W42" s="57">
        <f>new</f>
        <v>3</v>
      </c>
      <c r="X42" s="57">
        <f t="shared" si="63"/>
        <v>3</v>
      </c>
      <c r="Y42" s="57">
        <f t="shared" si="60"/>
        <v>3</v>
      </c>
      <c r="Z42" s="57">
        <f>new</f>
        <v>3</v>
      </c>
      <c r="AA42" s="57">
        <f>new</f>
        <v>3</v>
      </c>
      <c r="AB42" s="57">
        <f>thirtyminutes</f>
        <v>2</v>
      </c>
      <c r="AC42" s="57">
        <f>thirtyminutes</f>
        <v>2</v>
      </c>
      <c r="AD42" s="57">
        <f>thirtyminutes</f>
        <v>2</v>
      </c>
      <c r="AE42" s="57">
        <f>thirtyminutes</f>
        <v>2</v>
      </c>
      <c r="AF42" s="71">
        <f>Same</f>
        <v>5</v>
      </c>
      <c r="AG42" s="57">
        <f>new</f>
        <v>3</v>
      </c>
      <c r="AH42" s="57">
        <f>TenMinutes</f>
        <v>4</v>
      </c>
      <c r="AI42" s="57">
        <f>TenMinutes</f>
        <v>4</v>
      </c>
      <c r="AJ42" s="57">
        <f>thirtyminutes</f>
        <v>2</v>
      </c>
      <c r="AK42" s="57">
        <f>thirtyminutes</f>
        <v>2</v>
      </c>
      <c r="AL42" s="57">
        <f>new</f>
        <v>3</v>
      </c>
      <c r="AM42" s="57">
        <f t="shared" si="61"/>
        <v>2</v>
      </c>
      <c r="AN42" s="57">
        <f>TenMinutes</f>
        <v>4</v>
      </c>
      <c r="AO42" s="57">
        <f t="shared" ref="AO42:AP46" si="67">Other</f>
        <v>0</v>
      </c>
      <c r="AP42" s="57">
        <f t="shared" si="67"/>
        <v>0</v>
      </c>
      <c r="AQ42" s="57">
        <f>thirtyminutes</f>
        <v>2</v>
      </c>
      <c r="AR42" s="57">
        <f t="shared" si="42"/>
        <v>0</v>
      </c>
      <c r="AS42" s="57">
        <f>Other</f>
        <v>0</v>
      </c>
    </row>
    <row r="43" spans="1:45" s="60" customFormat="1">
      <c r="A43"/>
      <c r="B43" s="67" t="s">
        <v>153</v>
      </c>
      <c r="C43" s="72">
        <f>thirtyminutes</f>
        <v>2</v>
      </c>
      <c r="D43" s="72">
        <f>twentyminutes</f>
        <v>3</v>
      </c>
      <c r="E43" s="74">
        <f t="shared" si="64"/>
        <v>3</v>
      </c>
      <c r="F43" s="72">
        <f t="shared" si="64"/>
        <v>3</v>
      </c>
      <c r="G43" s="72">
        <f>twentyminutes</f>
        <v>3</v>
      </c>
      <c r="H43" s="72">
        <f>twentyminutes</f>
        <v>3</v>
      </c>
      <c r="I43" s="72">
        <f>twentyminutes</f>
        <v>3</v>
      </c>
      <c r="J43" s="72">
        <f>twentyminutes</f>
        <v>3</v>
      </c>
      <c r="K43" s="75">
        <f>Other</f>
        <v>0</v>
      </c>
      <c r="L43" s="75">
        <f t="shared" si="65"/>
        <v>2</v>
      </c>
      <c r="M43" s="75">
        <f t="shared" si="65"/>
        <v>2</v>
      </c>
      <c r="N43" s="75">
        <f t="shared" si="58"/>
        <v>2</v>
      </c>
      <c r="O43" s="75">
        <f t="shared" si="58"/>
        <v>2</v>
      </c>
      <c r="P43" s="75">
        <f t="shared" si="58"/>
        <v>2</v>
      </c>
      <c r="Q43" s="75">
        <f t="shared" si="58"/>
        <v>2</v>
      </c>
      <c r="R43" s="75">
        <f t="shared" si="58"/>
        <v>2</v>
      </c>
      <c r="S43" s="75">
        <f t="shared" si="66"/>
        <v>2</v>
      </c>
      <c r="T43" s="75">
        <f t="shared" si="66"/>
        <v>2</v>
      </c>
      <c r="U43" s="57">
        <f t="shared" si="59"/>
        <v>0</v>
      </c>
      <c r="V43" s="57">
        <f>TenMinutes</f>
        <v>4</v>
      </c>
      <c r="W43" s="57">
        <f>new</f>
        <v>3</v>
      </c>
      <c r="X43" s="57">
        <f t="shared" si="63"/>
        <v>3</v>
      </c>
      <c r="Y43" s="57">
        <f t="shared" si="60"/>
        <v>3</v>
      </c>
      <c r="Z43" s="57">
        <f>TenMinutes</f>
        <v>4</v>
      </c>
      <c r="AA43" s="57">
        <f>TenMinutes</f>
        <v>4</v>
      </c>
      <c r="AB43" s="57">
        <f>new</f>
        <v>3</v>
      </c>
      <c r="AC43" s="57">
        <f t="shared" ref="AC43:AD45" si="68">thirtyminutes</f>
        <v>2</v>
      </c>
      <c r="AD43" s="57">
        <f t="shared" si="68"/>
        <v>2</v>
      </c>
      <c r="AE43" s="57">
        <f>TenMinutes</f>
        <v>4</v>
      </c>
      <c r="AF43" s="57">
        <f>new</f>
        <v>3</v>
      </c>
      <c r="AG43" s="71">
        <f>Same</f>
        <v>5</v>
      </c>
      <c r="AH43" s="57">
        <f>TenMinutes</f>
        <v>4</v>
      </c>
      <c r="AI43" s="57">
        <f>TenMinutes</f>
        <v>4</v>
      </c>
      <c r="AJ43" s="57">
        <f>new</f>
        <v>3</v>
      </c>
      <c r="AK43" s="57">
        <f>thirtyminutes</f>
        <v>2</v>
      </c>
      <c r="AL43" s="57">
        <f>thirtyminutes</f>
        <v>2</v>
      </c>
      <c r="AM43" s="57">
        <f t="shared" si="61"/>
        <v>2</v>
      </c>
      <c r="AN43" s="57">
        <f>new</f>
        <v>3</v>
      </c>
      <c r="AO43" s="57">
        <f t="shared" si="67"/>
        <v>0</v>
      </c>
      <c r="AP43" s="57">
        <f t="shared" si="67"/>
        <v>0</v>
      </c>
      <c r="AQ43" s="57">
        <f>Other</f>
        <v>0</v>
      </c>
      <c r="AR43" s="57">
        <f t="shared" si="42"/>
        <v>0</v>
      </c>
      <c r="AS43" s="57">
        <f>Other</f>
        <v>0</v>
      </c>
    </row>
    <row r="44" spans="1:45" s="60" customFormat="1">
      <c r="A44"/>
      <c r="B44" s="67" t="s">
        <v>66</v>
      </c>
      <c r="C44" s="72">
        <f>thirtyminutes</f>
        <v>2</v>
      </c>
      <c r="D44" s="72">
        <f>thirtyminutes</f>
        <v>2</v>
      </c>
      <c r="E44" s="74">
        <f t="shared" si="64"/>
        <v>3</v>
      </c>
      <c r="F44" s="72">
        <f t="shared" si="64"/>
        <v>3</v>
      </c>
      <c r="G44" s="72">
        <f>thirtyminutes</f>
        <v>2</v>
      </c>
      <c r="H44" s="72">
        <f>twentyminutes</f>
        <v>3</v>
      </c>
      <c r="I44" s="72">
        <f>twentyminutes</f>
        <v>3</v>
      </c>
      <c r="J44" s="72">
        <f>thirtyminutes</f>
        <v>2</v>
      </c>
      <c r="K44" s="75">
        <f>Other</f>
        <v>0</v>
      </c>
      <c r="L44" s="75">
        <f t="shared" si="65"/>
        <v>2</v>
      </c>
      <c r="M44" s="75">
        <f t="shared" si="65"/>
        <v>2</v>
      </c>
      <c r="N44" s="75">
        <f t="shared" si="58"/>
        <v>2</v>
      </c>
      <c r="O44" s="75">
        <f t="shared" si="58"/>
        <v>2</v>
      </c>
      <c r="P44" s="75">
        <f t="shared" si="58"/>
        <v>2</v>
      </c>
      <c r="Q44" s="75">
        <f t="shared" si="58"/>
        <v>2</v>
      </c>
      <c r="R44" s="75">
        <f t="shared" si="58"/>
        <v>2</v>
      </c>
      <c r="S44" s="75">
        <f t="shared" si="66"/>
        <v>2</v>
      </c>
      <c r="T44" s="75">
        <f t="shared" si="66"/>
        <v>2</v>
      </c>
      <c r="U44" s="57">
        <f t="shared" si="59"/>
        <v>0</v>
      </c>
      <c r="V44" s="57">
        <f>thirtyminutes</f>
        <v>2</v>
      </c>
      <c r="W44" s="57">
        <f>new</f>
        <v>3</v>
      </c>
      <c r="X44" s="57">
        <f t="shared" si="63"/>
        <v>3</v>
      </c>
      <c r="Y44" s="57">
        <f t="shared" si="60"/>
        <v>3</v>
      </c>
      <c r="Z44" s="57">
        <f>new</f>
        <v>3</v>
      </c>
      <c r="AA44" s="57">
        <f>new</f>
        <v>3</v>
      </c>
      <c r="AB44" s="57">
        <f>thirtyminutes</f>
        <v>2</v>
      </c>
      <c r="AC44" s="57">
        <f t="shared" si="68"/>
        <v>2</v>
      </c>
      <c r="AD44" s="57">
        <f t="shared" si="68"/>
        <v>2</v>
      </c>
      <c r="AE44" s="57">
        <f>thirtyminutes</f>
        <v>2</v>
      </c>
      <c r="AF44" s="57">
        <f>TenMinutes</f>
        <v>4</v>
      </c>
      <c r="AG44" s="57">
        <f>TenMinutes</f>
        <v>4</v>
      </c>
      <c r="AH44" s="71">
        <f>Same</f>
        <v>5</v>
      </c>
      <c r="AI44" s="57">
        <f>TenMinutes</f>
        <v>4</v>
      </c>
      <c r="AJ44" s="57">
        <f>new</f>
        <v>3</v>
      </c>
      <c r="AK44" s="57">
        <f>thirtyminutes</f>
        <v>2</v>
      </c>
      <c r="AL44" s="57">
        <f>new</f>
        <v>3</v>
      </c>
      <c r="AM44" s="57">
        <f t="shared" si="61"/>
        <v>2</v>
      </c>
      <c r="AN44" s="57">
        <f>new</f>
        <v>3</v>
      </c>
      <c r="AO44" s="57">
        <f t="shared" si="67"/>
        <v>0</v>
      </c>
      <c r="AP44" s="57">
        <f t="shared" si="67"/>
        <v>0</v>
      </c>
      <c r="AQ44" s="57">
        <f>thirtyminutes</f>
        <v>2</v>
      </c>
      <c r="AR44" s="57">
        <f t="shared" si="42"/>
        <v>0</v>
      </c>
      <c r="AS44" s="57">
        <f>Other</f>
        <v>0</v>
      </c>
    </row>
    <row r="45" spans="1:45" s="60" customFormat="1">
      <c r="A45"/>
      <c r="B45" s="67" t="s">
        <v>152</v>
      </c>
      <c r="C45" s="72">
        <f>thirtyminutes</f>
        <v>2</v>
      </c>
      <c r="D45" s="72">
        <f>thirtyminutes</f>
        <v>2</v>
      </c>
      <c r="E45" s="74">
        <f t="shared" si="64"/>
        <v>3</v>
      </c>
      <c r="F45" s="72">
        <f t="shared" si="64"/>
        <v>3</v>
      </c>
      <c r="G45" s="72">
        <f>thirtyminutes</f>
        <v>2</v>
      </c>
      <c r="H45" s="72">
        <f>thirtyminutes</f>
        <v>2</v>
      </c>
      <c r="I45" s="72">
        <f>twentyminutes</f>
        <v>3</v>
      </c>
      <c r="J45" s="72">
        <f>thirtyminutes</f>
        <v>2</v>
      </c>
      <c r="K45" s="75">
        <f>Other</f>
        <v>0</v>
      </c>
      <c r="L45" s="75">
        <f>twentyminutes</f>
        <v>3</v>
      </c>
      <c r="M45" s="75">
        <f>twentyminutes</f>
        <v>3</v>
      </c>
      <c r="N45" s="75">
        <f t="shared" si="58"/>
        <v>2</v>
      </c>
      <c r="O45" s="75">
        <f t="shared" si="58"/>
        <v>2</v>
      </c>
      <c r="P45" s="75">
        <f t="shared" si="58"/>
        <v>2</v>
      </c>
      <c r="Q45" s="75">
        <f t="shared" si="58"/>
        <v>2</v>
      </c>
      <c r="R45" s="75">
        <f t="shared" si="58"/>
        <v>2</v>
      </c>
      <c r="S45" s="75">
        <f t="shared" si="66"/>
        <v>2</v>
      </c>
      <c r="T45" s="75">
        <f t="shared" si="66"/>
        <v>2</v>
      </c>
      <c r="U45" s="57">
        <f t="shared" si="59"/>
        <v>0</v>
      </c>
      <c r="V45" s="57">
        <f>thirtyminutes</f>
        <v>2</v>
      </c>
      <c r="W45" s="57">
        <f>thirtyminutes</f>
        <v>2</v>
      </c>
      <c r="X45" s="57">
        <f t="shared" si="63"/>
        <v>3</v>
      </c>
      <c r="Y45" s="57">
        <f t="shared" si="60"/>
        <v>3</v>
      </c>
      <c r="Z45" s="57">
        <f>new</f>
        <v>3</v>
      </c>
      <c r="AA45" s="57">
        <f>new</f>
        <v>3</v>
      </c>
      <c r="AB45" s="57">
        <f>thirtyminutes</f>
        <v>2</v>
      </c>
      <c r="AC45" s="57">
        <f t="shared" si="68"/>
        <v>2</v>
      </c>
      <c r="AD45" s="57">
        <f t="shared" si="68"/>
        <v>2</v>
      </c>
      <c r="AE45" s="57">
        <f>thirtyminutes</f>
        <v>2</v>
      </c>
      <c r="AF45" s="57">
        <f>TenMinutes</f>
        <v>4</v>
      </c>
      <c r="AG45" s="57">
        <f>TenMinutes</f>
        <v>4</v>
      </c>
      <c r="AH45" s="57">
        <f>TenMinutes</f>
        <v>4</v>
      </c>
      <c r="AI45" s="71">
        <f>Same</f>
        <v>5</v>
      </c>
      <c r="AJ45" s="57">
        <f>thirtyminutes</f>
        <v>2</v>
      </c>
      <c r="AK45" s="57">
        <f>thirtyminutes</f>
        <v>2</v>
      </c>
      <c r="AL45" s="57">
        <f>new</f>
        <v>3</v>
      </c>
      <c r="AM45" s="57">
        <f t="shared" si="61"/>
        <v>2</v>
      </c>
      <c r="AN45" s="57">
        <f>TenMinutes</f>
        <v>4</v>
      </c>
      <c r="AO45" s="57">
        <f t="shared" si="67"/>
        <v>0</v>
      </c>
      <c r="AP45" s="57">
        <f t="shared" si="67"/>
        <v>0</v>
      </c>
      <c r="AQ45" s="57">
        <f>thirtyminutes</f>
        <v>2</v>
      </c>
      <c r="AR45" s="57">
        <f t="shared" si="42"/>
        <v>0</v>
      </c>
      <c r="AS45" s="57">
        <f>thirtyminutes</f>
        <v>2</v>
      </c>
    </row>
    <row r="46" spans="1:45" s="60" customFormat="1">
      <c r="A46"/>
      <c r="B46" s="68" t="s">
        <v>154</v>
      </c>
      <c r="C46" s="72">
        <f>twentyminutes</f>
        <v>3</v>
      </c>
      <c r="D46" s="72">
        <f>Other</f>
        <v>0</v>
      </c>
      <c r="E46" s="74">
        <f>twentyminutes</f>
        <v>3</v>
      </c>
      <c r="F46" s="72">
        <f>thirtyminutes</f>
        <v>2</v>
      </c>
      <c r="G46" s="72">
        <f>thirtyminutes</f>
        <v>2</v>
      </c>
      <c r="H46" s="72">
        <f>twentyminutes</f>
        <v>3</v>
      </c>
      <c r="I46" s="72">
        <f>twentyminutes</f>
        <v>3</v>
      </c>
      <c r="J46" s="72">
        <f>twentyminutes</f>
        <v>3</v>
      </c>
      <c r="K46" s="75">
        <f t="shared" ref="K46:M48" si="69">thirtyminutes</f>
        <v>2</v>
      </c>
      <c r="L46" s="75">
        <f t="shared" si="69"/>
        <v>2</v>
      </c>
      <c r="M46" s="75">
        <f t="shared" si="69"/>
        <v>2</v>
      </c>
      <c r="N46" s="75">
        <f t="shared" si="58"/>
        <v>2</v>
      </c>
      <c r="O46" s="75">
        <f t="shared" si="58"/>
        <v>2</v>
      </c>
      <c r="P46" s="75">
        <f t="shared" si="58"/>
        <v>2</v>
      </c>
      <c r="Q46" s="75">
        <f t="shared" si="58"/>
        <v>2</v>
      </c>
      <c r="R46" s="75">
        <f t="shared" si="58"/>
        <v>2</v>
      </c>
      <c r="S46" s="75">
        <f t="shared" si="66"/>
        <v>2</v>
      </c>
      <c r="T46" s="75">
        <f t="shared" si="66"/>
        <v>2</v>
      </c>
      <c r="U46" s="57">
        <f t="shared" si="59"/>
        <v>0</v>
      </c>
      <c r="V46" s="57">
        <f>TenMinutes</f>
        <v>4</v>
      </c>
      <c r="W46" s="57">
        <f>new</f>
        <v>3</v>
      </c>
      <c r="X46" s="57">
        <f t="shared" ref="X46:Y49" si="70">Other</f>
        <v>0</v>
      </c>
      <c r="Y46" s="57">
        <f t="shared" si="70"/>
        <v>0</v>
      </c>
      <c r="Z46" s="57">
        <f>thirtyminutes</f>
        <v>2</v>
      </c>
      <c r="AA46" s="57">
        <f>thirtyminutes</f>
        <v>2</v>
      </c>
      <c r="AB46" s="57">
        <f>new</f>
        <v>3</v>
      </c>
      <c r="AC46" s="57">
        <f>TenMinutes</f>
        <v>4</v>
      </c>
      <c r="AD46" s="57">
        <f>new</f>
        <v>3</v>
      </c>
      <c r="AE46" s="57">
        <f>TenMinutes</f>
        <v>4</v>
      </c>
      <c r="AF46" s="57">
        <f>thirtyminutes</f>
        <v>2</v>
      </c>
      <c r="AG46" s="57">
        <f>new</f>
        <v>3</v>
      </c>
      <c r="AH46" s="57">
        <f>new</f>
        <v>3</v>
      </c>
      <c r="AI46" s="57">
        <f>thirtyminutes</f>
        <v>2</v>
      </c>
      <c r="AJ46" s="71">
        <f>Same</f>
        <v>5</v>
      </c>
      <c r="AK46" s="57">
        <f>new</f>
        <v>3</v>
      </c>
      <c r="AL46" s="57">
        <f>TenMinutes</f>
        <v>4</v>
      </c>
      <c r="AM46" s="57">
        <f t="shared" si="61"/>
        <v>2</v>
      </c>
      <c r="AN46" s="57">
        <f>Other</f>
        <v>0</v>
      </c>
      <c r="AO46" s="57">
        <f t="shared" si="67"/>
        <v>0</v>
      </c>
      <c r="AP46" s="57">
        <f t="shared" si="67"/>
        <v>0</v>
      </c>
      <c r="AQ46" s="57">
        <f>new</f>
        <v>3</v>
      </c>
      <c r="AR46" s="57">
        <f t="shared" si="42"/>
        <v>0</v>
      </c>
      <c r="AS46" s="57">
        <f>thirtyminutes</f>
        <v>2</v>
      </c>
    </row>
    <row r="47" spans="1:45" s="60" customFormat="1" ht="30">
      <c r="A47"/>
      <c r="B47" s="68" t="s">
        <v>67</v>
      </c>
      <c r="C47" s="72">
        <f>twentyminutes</f>
        <v>3</v>
      </c>
      <c r="D47" s="72">
        <f>Other</f>
        <v>0</v>
      </c>
      <c r="E47" s="74">
        <f>thirtyminutes</f>
        <v>2</v>
      </c>
      <c r="F47" s="72">
        <f>Other</f>
        <v>0</v>
      </c>
      <c r="G47" s="72">
        <f>thirtyminutes</f>
        <v>2</v>
      </c>
      <c r="H47" s="72">
        <f>thirtyminutes</f>
        <v>2</v>
      </c>
      <c r="I47" s="72">
        <f>thirtyminutes</f>
        <v>2</v>
      </c>
      <c r="J47" s="72">
        <f>twentyminutes</f>
        <v>3</v>
      </c>
      <c r="K47" s="75">
        <f t="shared" si="69"/>
        <v>2</v>
      </c>
      <c r="L47" s="75">
        <f t="shared" si="69"/>
        <v>2</v>
      </c>
      <c r="M47" s="75">
        <f t="shared" si="69"/>
        <v>2</v>
      </c>
      <c r="N47" s="75">
        <f t="shared" si="58"/>
        <v>2</v>
      </c>
      <c r="O47" s="75">
        <f t="shared" si="58"/>
        <v>2</v>
      </c>
      <c r="P47" s="75">
        <f t="shared" si="58"/>
        <v>2</v>
      </c>
      <c r="Q47" s="75">
        <f t="shared" si="58"/>
        <v>2</v>
      </c>
      <c r="R47" s="75">
        <f t="shared" si="58"/>
        <v>2</v>
      </c>
      <c r="S47" s="75">
        <f t="shared" si="66"/>
        <v>2</v>
      </c>
      <c r="T47" s="75">
        <f t="shared" si="66"/>
        <v>2</v>
      </c>
      <c r="U47" s="57">
        <f t="shared" si="59"/>
        <v>0</v>
      </c>
      <c r="V47" s="57">
        <f>thirtyminutes</f>
        <v>2</v>
      </c>
      <c r="W47" s="57">
        <f>thirtyminutes</f>
        <v>2</v>
      </c>
      <c r="X47" s="57">
        <f t="shared" si="70"/>
        <v>0</v>
      </c>
      <c r="Y47" s="57">
        <f t="shared" si="70"/>
        <v>0</v>
      </c>
      <c r="Z47" s="57">
        <f t="shared" ref="Z47:AA49" si="71">Other</f>
        <v>0</v>
      </c>
      <c r="AA47" s="57">
        <f t="shared" si="71"/>
        <v>0</v>
      </c>
      <c r="AB47" s="57">
        <f>thirtyminutes</f>
        <v>2</v>
      </c>
      <c r="AC47" s="57">
        <f>new</f>
        <v>3</v>
      </c>
      <c r="AD47" s="57">
        <f>thirtyminutes</f>
        <v>2</v>
      </c>
      <c r="AE47" s="57">
        <f>thirtyminutes</f>
        <v>2</v>
      </c>
      <c r="AF47" s="57">
        <f>thirtyminutes</f>
        <v>2</v>
      </c>
      <c r="AG47" s="57">
        <f>thirtyminutes</f>
        <v>2</v>
      </c>
      <c r="AH47" s="57">
        <f>thirtyminutes</f>
        <v>2</v>
      </c>
      <c r="AI47" s="57">
        <f>thirtyminutes</f>
        <v>2</v>
      </c>
      <c r="AJ47" s="57">
        <f>new</f>
        <v>3</v>
      </c>
      <c r="AK47" s="71">
        <f>Same</f>
        <v>5</v>
      </c>
      <c r="AL47" s="57">
        <f>TenMinutes</f>
        <v>4</v>
      </c>
      <c r="AM47" s="57">
        <f>TenMinutes</f>
        <v>4</v>
      </c>
      <c r="AN47" s="57">
        <f>Other</f>
        <v>0</v>
      </c>
      <c r="AO47" s="57">
        <f>thirtyminutes</f>
        <v>2</v>
      </c>
      <c r="AP47" s="57">
        <f>Other</f>
        <v>0</v>
      </c>
      <c r="AQ47" s="57">
        <f>TenMinutes</f>
        <v>4</v>
      </c>
      <c r="AR47" s="57">
        <f>thirtyminutes</f>
        <v>2</v>
      </c>
      <c r="AS47" s="57">
        <f>new</f>
        <v>3</v>
      </c>
    </row>
    <row r="48" spans="1:45" s="60" customFormat="1">
      <c r="A48"/>
      <c r="B48" s="68" t="s">
        <v>68</v>
      </c>
      <c r="C48" s="72">
        <f>twentyminutes</f>
        <v>3</v>
      </c>
      <c r="D48" s="72">
        <f>Other</f>
        <v>0</v>
      </c>
      <c r="E48" s="74">
        <f>twentyminutes</f>
        <v>3</v>
      </c>
      <c r="F48" s="72">
        <f>thirtyminutes</f>
        <v>2</v>
      </c>
      <c r="G48" s="72">
        <f>thirtyminutes</f>
        <v>2</v>
      </c>
      <c r="H48" s="72">
        <f>thirtyminutes</f>
        <v>2</v>
      </c>
      <c r="I48" s="72">
        <f>thirtyminutes</f>
        <v>2</v>
      </c>
      <c r="J48" s="72">
        <f>twentyminutes</f>
        <v>3</v>
      </c>
      <c r="K48" s="75">
        <f t="shared" si="69"/>
        <v>2</v>
      </c>
      <c r="L48" s="75">
        <f t="shared" si="69"/>
        <v>2</v>
      </c>
      <c r="M48" s="75">
        <f t="shared" si="69"/>
        <v>2</v>
      </c>
      <c r="N48" s="75">
        <f t="shared" si="58"/>
        <v>2</v>
      </c>
      <c r="O48" s="75">
        <f t="shared" si="58"/>
        <v>2</v>
      </c>
      <c r="P48" s="75">
        <f t="shared" si="58"/>
        <v>2</v>
      </c>
      <c r="Q48" s="75">
        <f t="shared" si="58"/>
        <v>2</v>
      </c>
      <c r="R48" s="75">
        <f t="shared" si="58"/>
        <v>2</v>
      </c>
      <c r="S48" s="75">
        <f t="shared" si="66"/>
        <v>2</v>
      </c>
      <c r="T48" s="75">
        <f t="shared" si="66"/>
        <v>2</v>
      </c>
      <c r="U48" s="57">
        <f t="shared" si="59"/>
        <v>0</v>
      </c>
      <c r="V48" s="57">
        <f>new</f>
        <v>3</v>
      </c>
      <c r="W48" s="57">
        <f>new</f>
        <v>3</v>
      </c>
      <c r="X48" s="57">
        <f t="shared" si="70"/>
        <v>0</v>
      </c>
      <c r="Y48" s="57">
        <f t="shared" si="70"/>
        <v>0</v>
      </c>
      <c r="Z48" s="57">
        <f t="shared" si="71"/>
        <v>0</v>
      </c>
      <c r="AA48" s="57">
        <f t="shared" si="71"/>
        <v>0</v>
      </c>
      <c r="AB48" s="57">
        <f>thirtyminutes</f>
        <v>2</v>
      </c>
      <c r="AC48" s="57">
        <f>new</f>
        <v>3</v>
      </c>
      <c r="AD48" s="57">
        <f>thirtyminutes</f>
        <v>2</v>
      </c>
      <c r="AE48" s="57">
        <f>new</f>
        <v>3</v>
      </c>
      <c r="AF48" s="57">
        <f>new</f>
        <v>3</v>
      </c>
      <c r="AG48" s="57">
        <f>thirtyminutes</f>
        <v>2</v>
      </c>
      <c r="AH48" s="57">
        <f>new</f>
        <v>3</v>
      </c>
      <c r="AI48" s="57">
        <f>new</f>
        <v>3</v>
      </c>
      <c r="AJ48" s="57">
        <f>TenMinutes</f>
        <v>4</v>
      </c>
      <c r="AK48" s="57">
        <f>TenMinutes</f>
        <v>4</v>
      </c>
      <c r="AL48" s="71">
        <f>Same</f>
        <v>5</v>
      </c>
      <c r="AM48" s="57">
        <f>new</f>
        <v>3</v>
      </c>
      <c r="AN48" s="57">
        <f>Other</f>
        <v>0</v>
      </c>
      <c r="AO48" s="57">
        <f>thirtyminutes</f>
        <v>2</v>
      </c>
      <c r="AP48" s="57">
        <f>Other</f>
        <v>0</v>
      </c>
      <c r="AQ48" s="57">
        <f>new</f>
        <v>3</v>
      </c>
      <c r="AR48" s="57">
        <f>Other</f>
        <v>0</v>
      </c>
      <c r="AS48" s="57">
        <f>new</f>
        <v>3</v>
      </c>
    </row>
    <row r="49" spans="1:45" s="60" customFormat="1">
      <c r="A49"/>
      <c r="B49" s="69" t="s">
        <v>69</v>
      </c>
      <c r="C49" s="72">
        <f>Other</f>
        <v>0</v>
      </c>
      <c r="D49" s="72">
        <f>Other</f>
        <v>0</v>
      </c>
      <c r="E49" s="74">
        <f>Other</f>
        <v>0</v>
      </c>
      <c r="F49" s="72">
        <f>thirtyminutes</f>
        <v>2</v>
      </c>
      <c r="G49" s="72">
        <f t="shared" ref="G49:T49" si="72">Other</f>
        <v>0</v>
      </c>
      <c r="H49" s="72">
        <f t="shared" si="72"/>
        <v>0</v>
      </c>
      <c r="I49" s="72">
        <f t="shared" si="72"/>
        <v>0</v>
      </c>
      <c r="J49" s="72">
        <f t="shared" si="72"/>
        <v>0</v>
      </c>
      <c r="K49" s="75">
        <f t="shared" si="72"/>
        <v>0</v>
      </c>
      <c r="L49" s="75">
        <f t="shared" si="72"/>
        <v>0</v>
      </c>
      <c r="M49" s="75">
        <f t="shared" si="72"/>
        <v>0</v>
      </c>
      <c r="N49" s="75">
        <f t="shared" si="72"/>
        <v>0</v>
      </c>
      <c r="O49" s="75">
        <f t="shared" si="72"/>
        <v>0</v>
      </c>
      <c r="P49" s="75">
        <f t="shared" si="72"/>
        <v>0</v>
      </c>
      <c r="Q49" s="75">
        <f t="shared" si="72"/>
        <v>0</v>
      </c>
      <c r="R49" s="75">
        <f t="shared" si="72"/>
        <v>0</v>
      </c>
      <c r="S49" s="75">
        <f t="shared" si="72"/>
        <v>0</v>
      </c>
      <c r="T49" s="75">
        <f t="shared" si="72"/>
        <v>0</v>
      </c>
      <c r="U49" s="57">
        <f t="shared" si="59"/>
        <v>0</v>
      </c>
      <c r="V49" s="57">
        <f>thirtyminutes</f>
        <v>2</v>
      </c>
      <c r="W49" s="57">
        <f>thirtyminutes</f>
        <v>2</v>
      </c>
      <c r="X49" s="57">
        <f t="shared" si="70"/>
        <v>0</v>
      </c>
      <c r="Y49" s="57">
        <f t="shared" si="70"/>
        <v>0</v>
      </c>
      <c r="Z49" s="57">
        <f t="shared" si="71"/>
        <v>0</v>
      </c>
      <c r="AA49" s="57">
        <f t="shared" si="71"/>
        <v>0</v>
      </c>
      <c r="AB49" s="57">
        <f>Other</f>
        <v>0</v>
      </c>
      <c r="AC49" s="57">
        <f>thirtyminutes</f>
        <v>2</v>
      </c>
      <c r="AD49" s="57">
        <f>thirtyminutes</f>
        <v>2</v>
      </c>
      <c r="AE49" s="57">
        <f>thirtyminutes</f>
        <v>2</v>
      </c>
      <c r="AF49" s="57">
        <f>thirtyminutes</f>
        <v>2</v>
      </c>
      <c r="AG49" s="57">
        <f>thirtyminutes</f>
        <v>2</v>
      </c>
      <c r="AH49" s="57">
        <f>thirtyminutes</f>
        <v>2</v>
      </c>
      <c r="AI49" s="57">
        <f>thirtyminutes</f>
        <v>2</v>
      </c>
      <c r="AJ49" s="57">
        <f>thirtyminutes</f>
        <v>2</v>
      </c>
      <c r="AK49" s="57">
        <f>TenMinutes</f>
        <v>4</v>
      </c>
      <c r="AL49" s="57">
        <f>new</f>
        <v>3</v>
      </c>
      <c r="AM49" s="71">
        <f>Same</f>
        <v>5</v>
      </c>
      <c r="AN49" s="57">
        <f>new</f>
        <v>3</v>
      </c>
      <c r="AO49" s="57">
        <f>TenMinutes</f>
        <v>4</v>
      </c>
      <c r="AP49" s="57">
        <f>thirtyminutes</f>
        <v>2</v>
      </c>
      <c r="AQ49" s="57">
        <f>TenMinutes</f>
        <v>4</v>
      </c>
      <c r="AR49" s="57">
        <f>new</f>
        <v>3</v>
      </c>
      <c r="AS49" s="57">
        <f>TenMinutes</f>
        <v>4</v>
      </c>
    </row>
    <row r="50" spans="1:45">
      <c r="B50" s="69" t="s">
        <v>151</v>
      </c>
      <c r="C50" s="72">
        <f>Other</f>
        <v>0</v>
      </c>
      <c r="D50" s="72">
        <f>thirtyminutes</f>
        <v>2</v>
      </c>
      <c r="E50" s="74">
        <f>thirtyminutes</f>
        <v>2</v>
      </c>
      <c r="F50" s="72">
        <f>thirtyminutes</f>
        <v>2</v>
      </c>
      <c r="G50" s="72">
        <f t="shared" ref="G50:G55" si="73">Other</f>
        <v>0</v>
      </c>
      <c r="H50" s="72">
        <f>thirtyminutes</f>
        <v>2</v>
      </c>
      <c r="I50" s="72">
        <f>thirtyminutes</f>
        <v>2</v>
      </c>
      <c r="J50" s="72">
        <f t="shared" ref="J50:T52" si="74">Other</f>
        <v>0</v>
      </c>
      <c r="K50" s="75">
        <f t="shared" si="74"/>
        <v>0</v>
      </c>
      <c r="L50" s="75">
        <f t="shared" si="74"/>
        <v>0</v>
      </c>
      <c r="M50" s="75">
        <f t="shared" si="74"/>
        <v>0</v>
      </c>
      <c r="N50" s="75">
        <f t="shared" si="74"/>
        <v>0</v>
      </c>
      <c r="O50" s="75">
        <f t="shared" si="74"/>
        <v>0</v>
      </c>
      <c r="P50" s="75">
        <f t="shared" si="74"/>
        <v>0</v>
      </c>
      <c r="Q50" s="75">
        <f t="shared" si="74"/>
        <v>0</v>
      </c>
      <c r="R50" s="75">
        <f t="shared" si="74"/>
        <v>0</v>
      </c>
      <c r="S50" s="75">
        <f t="shared" si="74"/>
        <v>0</v>
      </c>
      <c r="T50" s="75">
        <f t="shared" si="74"/>
        <v>0</v>
      </c>
      <c r="U50" s="57">
        <f t="shared" si="59"/>
        <v>0</v>
      </c>
      <c r="V50" s="57">
        <f t="shared" ref="V50:W52" si="75">Other</f>
        <v>0</v>
      </c>
      <c r="W50" s="57">
        <f t="shared" si="75"/>
        <v>0</v>
      </c>
      <c r="X50" s="57">
        <f>thirtyminutes</f>
        <v>2</v>
      </c>
      <c r="Y50" s="57">
        <f>thirtyminutes</f>
        <v>2</v>
      </c>
      <c r="Z50" s="57">
        <f>thirtyminutes</f>
        <v>2</v>
      </c>
      <c r="AA50" s="57">
        <f>thirtyminutes</f>
        <v>2</v>
      </c>
      <c r="AB50" s="57">
        <f>thirtyminutes</f>
        <v>2</v>
      </c>
      <c r="AC50" s="57">
        <f t="shared" ref="AC50:AE52" si="76">Other</f>
        <v>0</v>
      </c>
      <c r="AD50" s="57">
        <f t="shared" si="76"/>
        <v>0</v>
      </c>
      <c r="AE50" s="57">
        <f t="shared" si="76"/>
        <v>0</v>
      </c>
      <c r="AF50" s="57">
        <f>TenMinutes</f>
        <v>4</v>
      </c>
      <c r="AG50" s="57">
        <f>new</f>
        <v>3</v>
      </c>
      <c r="AH50" s="57">
        <f>new</f>
        <v>3</v>
      </c>
      <c r="AI50" s="57">
        <f>TenMinutes</f>
        <v>4</v>
      </c>
      <c r="AJ50" s="57">
        <f>Other</f>
        <v>0</v>
      </c>
      <c r="AK50" s="57">
        <f>Other</f>
        <v>0</v>
      </c>
      <c r="AL50" s="57">
        <f>Other</f>
        <v>0</v>
      </c>
      <c r="AM50" s="57">
        <f>new</f>
        <v>3</v>
      </c>
      <c r="AN50" s="71">
        <f>Same</f>
        <v>5</v>
      </c>
      <c r="AO50" s="57">
        <f>thirtyminutes</f>
        <v>2</v>
      </c>
      <c r="AP50" s="57">
        <f>Other</f>
        <v>0</v>
      </c>
      <c r="AQ50" s="57">
        <f>new</f>
        <v>3</v>
      </c>
      <c r="AR50" s="57">
        <f>Other</f>
        <v>0</v>
      </c>
      <c r="AS50" s="57">
        <f>new</f>
        <v>3</v>
      </c>
    </row>
    <row r="51" spans="1:45">
      <c r="B51" s="69" t="s">
        <v>149</v>
      </c>
      <c r="C51" s="72">
        <f>Other</f>
        <v>0</v>
      </c>
      <c r="D51" s="72">
        <f t="shared" ref="D51:F55" si="77">Other</f>
        <v>0</v>
      </c>
      <c r="E51" s="74">
        <f t="shared" si="77"/>
        <v>0</v>
      </c>
      <c r="F51" s="72">
        <f t="shared" si="77"/>
        <v>0</v>
      </c>
      <c r="G51" s="72">
        <f t="shared" si="73"/>
        <v>0</v>
      </c>
      <c r="H51" s="72">
        <f t="shared" ref="H51:I55" si="78">Other</f>
        <v>0</v>
      </c>
      <c r="I51" s="72">
        <f t="shared" si="78"/>
        <v>0</v>
      </c>
      <c r="J51" s="72">
        <f t="shared" si="74"/>
        <v>0</v>
      </c>
      <c r="K51" s="75">
        <f t="shared" si="74"/>
        <v>0</v>
      </c>
      <c r="L51" s="75">
        <f t="shared" si="74"/>
        <v>0</v>
      </c>
      <c r="M51" s="75">
        <f t="shared" si="74"/>
        <v>0</v>
      </c>
      <c r="N51" s="75">
        <f t="shared" si="74"/>
        <v>0</v>
      </c>
      <c r="O51" s="75">
        <f t="shared" si="74"/>
        <v>0</v>
      </c>
      <c r="P51" s="75">
        <f t="shared" si="74"/>
        <v>0</v>
      </c>
      <c r="Q51" s="75">
        <f t="shared" si="74"/>
        <v>0</v>
      </c>
      <c r="R51" s="75">
        <f t="shared" si="74"/>
        <v>0</v>
      </c>
      <c r="S51" s="75">
        <f t="shared" si="74"/>
        <v>0</v>
      </c>
      <c r="T51" s="75">
        <f t="shared" si="74"/>
        <v>0</v>
      </c>
      <c r="U51" s="57">
        <f t="shared" si="59"/>
        <v>0</v>
      </c>
      <c r="V51" s="57">
        <f t="shared" si="75"/>
        <v>0</v>
      </c>
      <c r="W51" s="57">
        <f t="shared" si="75"/>
        <v>0</v>
      </c>
      <c r="X51" s="57">
        <f t="shared" ref="X51:AB55" si="79">Other</f>
        <v>0</v>
      </c>
      <c r="Y51" s="57">
        <f t="shared" si="79"/>
        <v>0</v>
      </c>
      <c r="Z51" s="57">
        <f t="shared" si="79"/>
        <v>0</v>
      </c>
      <c r="AA51" s="57">
        <f t="shared" si="79"/>
        <v>0</v>
      </c>
      <c r="AB51" s="57">
        <f t="shared" si="79"/>
        <v>0</v>
      </c>
      <c r="AC51" s="57">
        <f t="shared" si="76"/>
        <v>0</v>
      </c>
      <c r="AD51" s="57">
        <f t="shared" si="76"/>
        <v>0</v>
      </c>
      <c r="AE51" s="57">
        <f t="shared" si="76"/>
        <v>0</v>
      </c>
      <c r="AF51" s="57">
        <f t="shared" ref="AF51:AJ52" si="80">Other</f>
        <v>0</v>
      </c>
      <c r="AG51" s="57">
        <f t="shared" si="80"/>
        <v>0</v>
      </c>
      <c r="AH51" s="57">
        <f t="shared" si="80"/>
        <v>0</v>
      </c>
      <c r="AI51" s="57">
        <f t="shared" si="80"/>
        <v>0</v>
      </c>
      <c r="AJ51" s="57">
        <f t="shared" si="80"/>
        <v>0</v>
      </c>
      <c r="AK51" s="57">
        <f>thirtyminutes</f>
        <v>2</v>
      </c>
      <c r="AL51" s="57">
        <f>thirtyminutes</f>
        <v>2</v>
      </c>
      <c r="AM51" s="57">
        <f>TenMinutes</f>
        <v>4</v>
      </c>
      <c r="AN51" s="57">
        <f>thirtyminutes</f>
        <v>2</v>
      </c>
      <c r="AO51" s="71">
        <f>Same</f>
        <v>5</v>
      </c>
      <c r="AP51" s="57">
        <f>new</f>
        <v>3</v>
      </c>
      <c r="AQ51" s="57">
        <f>new</f>
        <v>3</v>
      </c>
      <c r="AR51" s="57">
        <f>TenMinutes</f>
        <v>4</v>
      </c>
      <c r="AS51" s="57">
        <f>new</f>
        <v>3</v>
      </c>
    </row>
    <row r="52" spans="1:45">
      <c r="B52" s="69" t="s">
        <v>147</v>
      </c>
      <c r="C52" s="72">
        <f>Other</f>
        <v>0</v>
      </c>
      <c r="D52" s="72">
        <f t="shared" si="77"/>
        <v>0</v>
      </c>
      <c r="E52" s="74">
        <f t="shared" si="77"/>
        <v>0</v>
      </c>
      <c r="F52" s="72">
        <f t="shared" si="77"/>
        <v>0</v>
      </c>
      <c r="G52" s="72">
        <f t="shared" si="73"/>
        <v>0</v>
      </c>
      <c r="H52" s="72">
        <f t="shared" si="78"/>
        <v>0</v>
      </c>
      <c r="I52" s="72">
        <f t="shared" si="78"/>
        <v>0</v>
      </c>
      <c r="J52" s="72">
        <f t="shared" si="74"/>
        <v>0</v>
      </c>
      <c r="K52" s="75">
        <f t="shared" si="74"/>
        <v>0</v>
      </c>
      <c r="L52" s="75">
        <f t="shared" si="74"/>
        <v>0</v>
      </c>
      <c r="M52" s="75">
        <f t="shared" si="74"/>
        <v>0</v>
      </c>
      <c r="N52" s="75">
        <f t="shared" si="74"/>
        <v>0</v>
      </c>
      <c r="O52" s="75">
        <f t="shared" si="74"/>
        <v>0</v>
      </c>
      <c r="P52" s="75">
        <f t="shared" si="74"/>
        <v>0</v>
      </c>
      <c r="Q52" s="75">
        <f t="shared" si="74"/>
        <v>0</v>
      </c>
      <c r="R52" s="75">
        <f t="shared" si="74"/>
        <v>0</v>
      </c>
      <c r="S52" s="75">
        <f t="shared" si="74"/>
        <v>0</v>
      </c>
      <c r="T52" s="75">
        <f t="shared" si="74"/>
        <v>0</v>
      </c>
      <c r="U52" s="57">
        <f t="shared" si="59"/>
        <v>0</v>
      </c>
      <c r="V52" s="57">
        <f t="shared" si="75"/>
        <v>0</v>
      </c>
      <c r="W52" s="57">
        <f t="shared" si="75"/>
        <v>0</v>
      </c>
      <c r="X52" s="57">
        <f t="shared" si="79"/>
        <v>0</v>
      </c>
      <c r="Y52" s="57">
        <f t="shared" si="79"/>
        <v>0</v>
      </c>
      <c r="Z52" s="57">
        <f t="shared" si="79"/>
        <v>0</v>
      </c>
      <c r="AA52" s="57">
        <f t="shared" si="79"/>
        <v>0</v>
      </c>
      <c r="AB52" s="57">
        <f t="shared" si="79"/>
        <v>0</v>
      </c>
      <c r="AC52" s="57">
        <f t="shared" si="76"/>
        <v>0</v>
      </c>
      <c r="AD52" s="57">
        <f t="shared" si="76"/>
        <v>0</v>
      </c>
      <c r="AE52" s="57">
        <f t="shared" si="76"/>
        <v>0</v>
      </c>
      <c r="AF52" s="57">
        <f t="shared" si="80"/>
        <v>0</v>
      </c>
      <c r="AG52" s="57">
        <f t="shared" si="80"/>
        <v>0</v>
      </c>
      <c r="AH52" s="57">
        <f t="shared" si="80"/>
        <v>0</v>
      </c>
      <c r="AI52" s="57">
        <f t="shared" si="80"/>
        <v>0</v>
      </c>
      <c r="AJ52" s="57">
        <f t="shared" si="80"/>
        <v>0</v>
      </c>
      <c r="AK52" s="57">
        <f>Other</f>
        <v>0</v>
      </c>
      <c r="AL52" s="57">
        <f>Other</f>
        <v>0</v>
      </c>
      <c r="AM52" s="57">
        <f>thirtyminutes</f>
        <v>2</v>
      </c>
      <c r="AN52" s="57">
        <f>Other</f>
        <v>0</v>
      </c>
      <c r="AO52" s="57">
        <f>new</f>
        <v>3</v>
      </c>
      <c r="AP52" s="71">
        <f>Same</f>
        <v>5</v>
      </c>
      <c r="AQ52" s="57">
        <f>thirtyminutes</f>
        <v>2</v>
      </c>
      <c r="AR52" s="57">
        <f>TenMinutes</f>
        <v>4</v>
      </c>
      <c r="AS52" s="57">
        <f>new</f>
        <v>3</v>
      </c>
    </row>
    <row r="53" spans="1:45" ht="30">
      <c r="B53" s="69" t="s">
        <v>150</v>
      </c>
      <c r="C53" s="72">
        <f>thirtyminutes</f>
        <v>2</v>
      </c>
      <c r="D53" s="72">
        <f t="shared" si="77"/>
        <v>0</v>
      </c>
      <c r="E53" s="74">
        <f t="shared" si="77"/>
        <v>0</v>
      </c>
      <c r="F53" s="72">
        <f t="shared" si="77"/>
        <v>0</v>
      </c>
      <c r="G53" s="72">
        <f t="shared" si="73"/>
        <v>0</v>
      </c>
      <c r="H53" s="72">
        <f t="shared" si="78"/>
        <v>0</v>
      </c>
      <c r="I53" s="72">
        <f t="shared" si="78"/>
        <v>0</v>
      </c>
      <c r="J53" s="72">
        <f>thirtyminutes</f>
        <v>2</v>
      </c>
      <c r="K53" s="75">
        <f t="shared" ref="K53:T55" si="81">Other</f>
        <v>0</v>
      </c>
      <c r="L53" s="75">
        <f t="shared" si="81"/>
        <v>0</v>
      </c>
      <c r="M53" s="75">
        <f t="shared" si="81"/>
        <v>0</v>
      </c>
      <c r="N53" s="75">
        <f t="shared" si="81"/>
        <v>0</v>
      </c>
      <c r="O53" s="75">
        <f t="shared" si="81"/>
        <v>0</v>
      </c>
      <c r="P53" s="75">
        <f t="shared" si="81"/>
        <v>0</v>
      </c>
      <c r="Q53" s="75">
        <f t="shared" si="81"/>
        <v>0</v>
      </c>
      <c r="R53" s="75">
        <f t="shared" si="81"/>
        <v>0</v>
      </c>
      <c r="S53" s="75">
        <f t="shared" si="81"/>
        <v>0</v>
      </c>
      <c r="T53" s="75">
        <f t="shared" si="81"/>
        <v>0</v>
      </c>
      <c r="U53" s="57">
        <f t="shared" si="59"/>
        <v>0</v>
      </c>
      <c r="V53" s="57">
        <f>thirtyminutes</f>
        <v>2</v>
      </c>
      <c r="W53" s="57">
        <f>thirtyminutes</f>
        <v>2</v>
      </c>
      <c r="X53" s="57">
        <f t="shared" si="79"/>
        <v>0</v>
      </c>
      <c r="Y53" s="57">
        <f t="shared" si="79"/>
        <v>0</v>
      </c>
      <c r="Z53" s="57">
        <f t="shared" si="79"/>
        <v>0</v>
      </c>
      <c r="AA53" s="57">
        <f t="shared" si="79"/>
        <v>0</v>
      </c>
      <c r="AB53" s="57">
        <f t="shared" si="79"/>
        <v>0</v>
      </c>
      <c r="AC53" s="57">
        <f>thirtyminutes</f>
        <v>2</v>
      </c>
      <c r="AD53" s="57">
        <f>thirtyminutes</f>
        <v>2</v>
      </c>
      <c r="AE53" s="57">
        <f>thirtyminutes</f>
        <v>2</v>
      </c>
      <c r="AF53" s="57">
        <f>thirtyminutes</f>
        <v>2</v>
      </c>
      <c r="AG53" s="57">
        <f>Other</f>
        <v>0</v>
      </c>
      <c r="AH53" s="57">
        <f>thirtyminutes</f>
        <v>2</v>
      </c>
      <c r="AI53" s="57">
        <f>thirtyminutes</f>
        <v>2</v>
      </c>
      <c r="AJ53" s="57">
        <f>new</f>
        <v>3</v>
      </c>
      <c r="AK53" s="57">
        <f>TenMinutes</f>
        <v>4</v>
      </c>
      <c r="AL53" s="57">
        <f>new</f>
        <v>3</v>
      </c>
      <c r="AM53" s="57">
        <f>TenMinutes</f>
        <v>4</v>
      </c>
      <c r="AN53" s="57">
        <f>new</f>
        <v>3</v>
      </c>
      <c r="AO53" s="57">
        <f>new</f>
        <v>3</v>
      </c>
      <c r="AP53" s="57">
        <f>thirtyminutes</f>
        <v>2</v>
      </c>
      <c r="AQ53" s="71">
        <f>Same</f>
        <v>5</v>
      </c>
      <c r="AR53" s="57">
        <f>new</f>
        <v>3</v>
      </c>
      <c r="AS53" s="57">
        <f>TenMinutes</f>
        <v>4</v>
      </c>
    </row>
    <row r="54" spans="1:45" ht="30">
      <c r="B54" s="69" t="s">
        <v>148</v>
      </c>
      <c r="C54" s="72">
        <f>Other</f>
        <v>0</v>
      </c>
      <c r="D54" s="72">
        <f t="shared" si="77"/>
        <v>0</v>
      </c>
      <c r="E54" s="74">
        <f t="shared" si="77"/>
        <v>0</v>
      </c>
      <c r="F54" s="72">
        <f t="shared" si="77"/>
        <v>0</v>
      </c>
      <c r="G54" s="72">
        <f t="shared" si="73"/>
        <v>0</v>
      </c>
      <c r="H54" s="72">
        <f t="shared" si="78"/>
        <v>0</v>
      </c>
      <c r="I54" s="72">
        <f t="shared" si="78"/>
        <v>0</v>
      </c>
      <c r="J54" s="72">
        <f>Other</f>
        <v>0</v>
      </c>
      <c r="K54" s="75">
        <f t="shared" si="81"/>
        <v>0</v>
      </c>
      <c r="L54" s="75">
        <f t="shared" si="81"/>
        <v>0</v>
      </c>
      <c r="M54" s="75">
        <f t="shared" si="81"/>
        <v>0</v>
      </c>
      <c r="N54" s="75">
        <f t="shared" si="81"/>
        <v>0</v>
      </c>
      <c r="O54" s="75">
        <f t="shared" si="81"/>
        <v>0</v>
      </c>
      <c r="P54" s="75">
        <f t="shared" si="81"/>
        <v>0</v>
      </c>
      <c r="Q54" s="75">
        <f t="shared" si="81"/>
        <v>0</v>
      </c>
      <c r="R54" s="75">
        <f t="shared" si="81"/>
        <v>0</v>
      </c>
      <c r="S54" s="75">
        <f t="shared" si="81"/>
        <v>0</v>
      </c>
      <c r="T54" s="75">
        <f t="shared" si="81"/>
        <v>0</v>
      </c>
      <c r="U54" s="57">
        <f t="shared" si="59"/>
        <v>0</v>
      </c>
      <c r="V54" s="57">
        <f>Other</f>
        <v>0</v>
      </c>
      <c r="W54" s="57">
        <f>Other</f>
        <v>0</v>
      </c>
      <c r="X54" s="57">
        <f t="shared" si="79"/>
        <v>0</v>
      </c>
      <c r="Y54" s="57">
        <f t="shared" si="79"/>
        <v>0</v>
      </c>
      <c r="Z54" s="57">
        <f t="shared" si="79"/>
        <v>0</v>
      </c>
      <c r="AA54" s="57">
        <f t="shared" si="79"/>
        <v>0</v>
      </c>
      <c r="AB54" s="57">
        <f t="shared" si="79"/>
        <v>0</v>
      </c>
      <c r="AC54" s="57">
        <f>Other</f>
        <v>0</v>
      </c>
      <c r="AD54" s="57">
        <f>Other</f>
        <v>0</v>
      </c>
      <c r="AE54" s="57">
        <f>Other</f>
        <v>0</v>
      </c>
      <c r="AF54" s="57">
        <f>Other</f>
        <v>0</v>
      </c>
      <c r="AG54" s="57">
        <f>Other</f>
        <v>0</v>
      </c>
      <c r="AH54" s="57">
        <f>Other</f>
        <v>0</v>
      </c>
      <c r="AI54" s="57">
        <f>Other</f>
        <v>0</v>
      </c>
      <c r="AJ54" s="57">
        <f>Other</f>
        <v>0</v>
      </c>
      <c r="AK54" s="57">
        <f>thirtyminutes</f>
        <v>2</v>
      </c>
      <c r="AL54" s="57">
        <f>Other</f>
        <v>0</v>
      </c>
      <c r="AM54" s="57">
        <f>new</f>
        <v>3</v>
      </c>
      <c r="AN54" s="57">
        <f>Other</f>
        <v>0</v>
      </c>
      <c r="AO54" s="57">
        <f>TenMinutes</f>
        <v>4</v>
      </c>
      <c r="AP54" s="57">
        <f>TenMinutes</f>
        <v>4</v>
      </c>
      <c r="AQ54" s="57">
        <f>new</f>
        <v>3</v>
      </c>
      <c r="AR54" s="71">
        <f>Same</f>
        <v>5</v>
      </c>
      <c r="AS54" s="57">
        <f>new</f>
        <v>3</v>
      </c>
    </row>
    <row r="55" spans="1:45">
      <c r="B55" s="69" t="s">
        <v>71</v>
      </c>
      <c r="C55" s="72">
        <f>thirtyminutes</f>
        <v>2</v>
      </c>
      <c r="D55" s="72">
        <f t="shared" si="77"/>
        <v>0</v>
      </c>
      <c r="E55" s="74">
        <f t="shared" si="77"/>
        <v>0</v>
      </c>
      <c r="F55" s="72">
        <f t="shared" si="77"/>
        <v>0</v>
      </c>
      <c r="G55" s="72">
        <f t="shared" si="73"/>
        <v>0</v>
      </c>
      <c r="H55" s="72">
        <f t="shared" si="78"/>
        <v>0</v>
      </c>
      <c r="I55" s="72">
        <f t="shared" si="78"/>
        <v>0</v>
      </c>
      <c r="J55" s="72">
        <f>thirtyminutes</f>
        <v>2</v>
      </c>
      <c r="K55" s="75">
        <f t="shared" si="81"/>
        <v>0</v>
      </c>
      <c r="L55" s="75">
        <f t="shared" si="81"/>
        <v>0</v>
      </c>
      <c r="M55" s="75">
        <f t="shared" si="81"/>
        <v>0</v>
      </c>
      <c r="N55" s="75">
        <f t="shared" si="81"/>
        <v>0</v>
      </c>
      <c r="O55" s="75">
        <f t="shared" si="81"/>
        <v>0</v>
      </c>
      <c r="P55" s="75">
        <f t="shared" si="81"/>
        <v>0</v>
      </c>
      <c r="Q55" s="75">
        <f t="shared" si="81"/>
        <v>0</v>
      </c>
      <c r="R55" s="75">
        <f t="shared" si="81"/>
        <v>0</v>
      </c>
      <c r="S55" s="75">
        <f t="shared" si="81"/>
        <v>0</v>
      </c>
      <c r="T55" s="75">
        <f t="shared" si="81"/>
        <v>0</v>
      </c>
      <c r="U55" s="57">
        <f t="shared" si="59"/>
        <v>0</v>
      </c>
      <c r="V55" s="57">
        <f>thirtyminutes</f>
        <v>2</v>
      </c>
      <c r="W55" s="57">
        <f>thirtyminutes</f>
        <v>2</v>
      </c>
      <c r="X55" s="57">
        <f t="shared" si="79"/>
        <v>0</v>
      </c>
      <c r="Y55" s="57">
        <f t="shared" si="79"/>
        <v>0</v>
      </c>
      <c r="Z55" s="57">
        <f t="shared" si="79"/>
        <v>0</v>
      </c>
      <c r="AA55" s="57">
        <f t="shared" si="79"/>
        <v>0</v>
      </c>
      <c r="AB55" s="57">
        <f t="shared" si="79"/>
        <v>0</v>
      </c>
      <c r="AC55" s="57">
        <f>thirtyminutes</f>
        <v>2</v>
      </c>
      <c r="AD55" s="57">
        <f>thirtyminutes</f>
        <v>2</v>
      </c>
      <c r="AE55" s="57">
        <f>thirtyminutes</f>
        <v>2</v>
      </c>
      <c r="AF55" s="57">
        <f>Other</f>
        <v>0</v>
      </c>
      <c r="AG55" s="57">
        <f>Other</f>
        <v>0</v>
      </c>
      <c r="AH55" s="57">
        <f>Other</f>
        <v>0</v>
      </c>
      <c r="AI55" s="57">
        <f>thirtyminutes</f>
        <v>2</v>
      </c>
      <c r="AJ55" s="57">
        <f>thirtyminutes</f>
        <v>2</v>
      </c>
      <c r="AK55" s="57">
        <f>new</f>
        <v>3</v>
      </c>
      <c r="AL55" s="57">
        <f>new</f>
        <v>3</v>
      </c>
      <c r="AM55" s="57">
        <f>TenMinutes</f>
        <v>4</v>
      </c>
      <c r="AN55" s="57">
        <f>new</f>
        <v>3</v>
      </c>
      <c r="AO55" s="57">
        <f>new</f>
        <v>3</v>
      </c>
      <c r="AP55" s="57">
        <f>new</f>
        <v>3</v>
      </c>
      <c r="AQ55" s="57">
        <f>TenMinutes</f>
        <v>4</v>
      </c>
      <c r="AR55" s="57">
        <f>new</f>
        <v>3</v>
      </c>
      <c r="AS55" s="71">
        <f>Same</f>
        <v>5</v>
      </c>
    </row>
    <row r="56" spans="1:45">
      <c r="A56" t="s">
        <v>48</v>
      </c>
    </row>
    <row r="57" spans="1:45">
      <c r="A57" t="str">
        <f>'Inputs and Outputs'!C18</f>
        <v>What neighborhood do you work in?</v>
      </c>
      <c r="B57" t="str">
        <f>'Inputs and Outputs'!D18</f>
        <v>Murray Hill</v>
      </c>
      <c r="C57" s="60">
        <f>VLOOKUP($B57,$B$13:$AS$55,C$10,FALSE)</f>
        <v>3</v>
      </c>
      <c r="D57" s="60">
        <f t="shared" ref="D57:AS59" si="82">VLOOKUP($B57,$B$13:$AS$55,D$10,FALSE)</f>
        <v>4</v>
      </c>
      <c r="E57" s="60">
        <f t="shared" si="82"/>
        <v>4</v>
      </c>
      <c r="F57" s="60">
        <f t="shared" si="82"/>
        <v>4</v>
      </c>
      <c r="G57" s="60">
        <f t="shared" si="82"/>
        <v>4</v>
      </c>
      <c r="H57" s="60">
        <f t="shared" si="82"/>
        <v>4</v>
      </c>
      <c r="I57" s="60">
        <f t="shared" si="82"/>
        <v>4</v>
      </c>
      <c r="J57" s="60">
        <f t="shared" si="82"/>
        <v>3</v>
      </c>
      <c r="K57" s="60">
        <f t="shared" si="82"/>
        <v>2</v>
      </c>
      <c r="L57" s="60">
        <f t="shared" si="82"/>
        <v>2</v>
      </c>
      <c r="M57" s="60">
        <f t="shared" si="82"/>
        <v>2</v>
      </c>
      <c r="N57" s="60">
        <f t="shared" si="82"/>
        <v>3</v>
      </c>
      <c r="O57" s="60">
        <f t="shared" si="82"/>
        <v>2</v>
      </c>
      <c r="P57" s="60">
        <f t="shared" si="82"/>
        <v>3</v>
      </c>
      <c r="Q57" s="60">
        <f t="shared" si="82"/>
        <v>3</v>
      </c>
      <c r="R57" s="60">
        <f t="shared" si="82"/>
        <v>3</v>
      </c>
      <c r="S57" s="60">
        <f t="shared" si="82"/>
        <v>3</v>
      </c>
      <c r="T57" s="60">
        <f t="shared" si="82"/>
        <v>2</v>
      </c>
      <c r="U57" s="60">
        <f t="shared" si="82"/>
        <v>0</v>
      </c>
      <c r="V57" s="60">
        <f t="shared" si="82"/>
        <v>3</v>
      </c>
      <c r="W57" s="60">
        <f t="shared" si="82"/>
        <v>4</v>
      </c>
      <c r="X57" s="60">
        <f t="shared" si="82"/>
        <v>4</v>
      </c>
      <c r="Y57" s="60">
        <f t="shared" si="82"/>
        <v>5</v>
      </c>
      <c r="Z57" s="60">
        <f t="shared" si="82"/>
        <v>4</v>
      </c>
      <c r="AA57" s="60">
        <f t="shared" si="82"/>
        <v>4</v>
      </c>
      <c r="AB57" s="60">
        <f t="shared" si="82"/>
        <v>4</v>
      </c>
      <c r="AC57" s="60">
        <f t="shared" si="82"/>
        <v>3</v>
      </c>
      <c r="AD57" s="60">
        <f t="shared" si="82"/>
        <v>3</v>
      </c>
      <c r="AE57" s="60">
        <f t="shared" si="82"/>
        <v>3</v>
      </c>
      <c r="AF57" s="60">
        <f t="shared" si="82"/>
        <v>3</v>
      </c>
      <c r="AG57" s="60">
        <f t="shared" si="82"/>
        <v>3</v>
      </c>
      <c r="AH57" s="60">
        <f t="shared" si="82"/>
        <v>3</v>
      </c>
      <c r="AI57" s="60">
        <f t="shared" si="82"/>
        <v>3</v>
      </c>
      <c r="AJ57" s="60">
        <f t="shared" si="82"/>
        <v>0</v>
      </c>
      <c r="AK57" s="60">
        <f t="shared" si="82"/>
        <v>0</v>
      </c>
      <c r="AL57" s="60">
        <f t="shared" si="82"/>
        <v>0</v>
      </c>
      <c r="AM57" s="60">
        <f t="shared" si="82"/>
        <v>0</v>
      </c>
      <c r="AN57" s="60">
        <f t="shared" si="82"/>
        <v>2</v>
      </c>
      <c r="AO57" s="60">
        <f t="shared" si="82"/>
        <v>0</v>
      </c>
      <c r="AP57" s="60">
        <f t="shared" si="82"/>
        <v>0</v>
      </c>
      <c r="AQ57" s="60">
        <f t="shared" si="82"/>
        <v>0</v>
      </c>
      <c r="AR57" s="60">
        <f t="shared" si="82"/>
        <v>0</v>
      </c>
      <c r="AS57" s="60">
        <f t="shared" si="82"/>
        <v>0</v>
      </c>
    </row>
    <row r="58" spans="1:45">
      <c r="A58" t="str">
        <f>'Inputs and Outputs'!C19</f>
        <v>How many times per week do you travel there?</v>
      </c>
      <c r="B58">
        <f>'Inputs and Outputs'!D19</f>
        <v>10</v>
      </c>
    </row>
    <row r="59" spans="1:45">
      <c r="A59" t="str">
        <f>'Inputs and Outputs'!C20</f>
        <v>What neighborhood do you hang out in most?</v>
      </c>
      <c r="B59" t="str">
        <f>'Inputs and Outputs'!D20</f>
        <v>Gramercy Park</v>
      </c>
      <c r="C59" s="60">
        <f>VLOOKUP($B59,$B$13:$AS$55,C$10,FALSE)</f>
        <v>4</v>
      </c>
      <c r="D59" s="60">
        <f t="shared" si="82"/>
        <v>4</v>
      </c>
      <c r="E59" s="60">
        <f t="shared" si="82"/>
        <v>4</v>
      </c>
      <c r="F59" s="60">
        <f t="shared" si="82"/>
        <v>5</v>
      </c>
      <c r="G59" s="60">
        <f t="shared" si="82"/>
        <v>4</v>
      </c>
      <c r="H59" s="60">
        <f t="shared" si="82"/>
        <v>4</v>
      </c>
      <c r="I59" s="60">
        <f t="shared" si="82"/>
        <v>4</v>
      </c>
      <c r="J59" s="60">
        <f t="shared" si="82"/>
        <v>3</v>
      </c>
      <c r="K59" s="60">
        <f t="shared" si="82"/>
        <v>3</v>
      </c>
      <c r="L59" s="60">
        <f t="shared" si="82"/>
        <v>4</v>
      </c>
      <c r="M59" s="60">
        <f t="shared" si="82"/>
        <v>3</v>
      </c>
      <c r="N59" s="60">
        <f t="shared" si="82"/>
        <v>3</v>
      </c>
      <c r="O59" s="60">
        <f t="shared" si="82"/>
        <v>3</v>
      </c>
      <c r="P59" s="60">
        <f t="shared" si="82"/>
        <v>4</v>
      </c>
      <c r="Q59" s="60">
        <f t="shared" si="82"/>
        <v>4</v>
      </c>
      <c r="R59" s="60">
        <f t="shared" si="82"/>
        <v>4</v>
      </c>
      <c r="S59" s="60">
        <f t="shared" si="82"/>
        <v>3</v>
      </c>
      <c r="T59" s="60">
        <f t="shared" si="82"/>
        <v>3</v>
      </c>
      <c r="U59" s="60">
        <f t="shared" si="82"/>
        <v>3</v>
      </c>
      <c r="V59" s="60">
        <f t="shared" si="82"/>
        <v>3</v>
      </c>
      <c r="W59" s="60">
        <f t="shared" si="82"/>
        <v>3</v>
      </c>
      <c r="X59" s="60">
        <f t="shared" si="82"/>
        <v>4</v>
      </c>
      <c r="Y59" s="60">
        <f t="shared" si="82"/>
        <v>4</v>
      </c>
      <c r="Z59" s="60">
        <f t="shared" si="82"/>
        <v>3</v>
      </c>
      <c r="AA59" s="60">
        <f t="shared" si="82"/>
        <v>4</v>
      </c>
      <c r="AB59" s="60">
        <f t="shared" si="82"/>
        <v>4</v>
      </c>
      <c r="AC59" s="60">
        <f t="shared" si="82"/>
        <v>3</v>
      </c>
      <c r="AD59" s="60">
        <f t="shared" si="82"/>
        <v>3</v>
      </c>
      <c r="AE59" s="60">
        <f t="shared" si="82"/>
        <v>3</v>
      </c>
      <c r="AF59" s="60">
        <f t="shared" si="82"/>
        <v>3</v>
      </c>
      <c r="AG59" s="60">
        <f t="shared" si="82"/>
        <v>3</v>
      </c>
      <c r="AH59" s="60">
        <f t="shared" si="82"/>
        <v>3</v>
      </c>
      <c r="AI59" s="60">
        <f t="shared" si="82"/>
        <v>3</v>
      </c>
      <c r="AJ59" s="60">
        <f t="shared" si="82"/>
        <v>2</v>
      </c>
      <c r="AK59" s="60">
        <f t="shared" si="82"/>
        <v>0</v>
      </c>
      <c r="AL59" s="60">
        <f t="shared" si="82"/>
        <v>2</v>
      </c>
      <c r="AM59" s="60">
        <f t="shared" si="82"/>
        <v>2</v>
      </c>
      <c r="AN59" s="60">
        <f t="shared" si="82"/>
        <v>2</v>
      </c>
      <c r="AO59" s="60">
        <f t="shared" si="82"/>
        <v>0</v>
      </c>
      <c r="AP59" s="60">
        <f t="shared" si="82"/>
        <v>0</v>
      </c>
      <c r="AQ59" s="60">
        <f t="shared" si="82"/>
        <v>0</v>
      </c>
      <c r="AR59" s="60">
        <f t="shared" si="82"/>
        <v>0</v>
      </c>
      <c r="AS59" s="60">
        <f t="shared" si="82"/>
        <v>0</v>
      </c>
    </row>
    <row r="60" spans="1:45">
      <c r="A60" t="str">
        <f>'Inputs and Outputs'!C21</f>
        <v>How many times per week do you travel there?</v>
      </c>
      <c r="B60">
        <f>'Inputs and Outputs'!D21</f>
        <v>2</v>
      </c>
      <c r="E60" s="60"/>
    </row>
    <row r="61" spans="1:45">
      <c r="B61" s="58" t="s">
        <v>112</v>
      </c>
      <c r="C61" s="60">
        <f>IF($B$58&gt;$B$60,$B$62*C57+$B$63*C59,C57*$B$63+C59*$B$62)/2</f>
        <v>1.65</v>
      </c>
      <c r="D61" s="60">
        <f t="shared" ref="D61:AS61" si="83">IF($B$58&gt;$B$60,$B$62*D57+$B$63*D59,D57*$B$63+D59*$B$62)/2</f>
        <v>2</v>
      </c>
      <c r="E61" s="60">
        <f t="shared" si="83"/>
        <v>2</v>
      </c>
      <c r="F61" s="60">
        <f t="shared" si="83"/>
        <v>2.15</v>
      </c>
      <c r="G61" s="60">
        <f t="shared" si="83"/>
        <v>2</v>
      </c>
      <c r="H61" s="60">
        <f t="shared" si="83"/>
        <v>2</v>
      </c>
      <c r="I61" s="60">
        <f t="shared" si="83"/>
        <v>2</v>
      </c>
      <c r="J61" s="60">
        <f t="shared" si="83"/>
        <v>1.4999999999999998</v>
      </c>
      <c r="K61" s="60">
        <f t="shared" si="83"/>
        <v>1.1499999999999999</v>
      </c>
      <c r="L61" s="60">
        <f t="shared" si="83"/>
        <v>1.2999999999999998</v>
      </c>
      <c r="M61" s="60">
        <f t="shared" si="83"/>
        <v>1.1499999999999999</v>
      </c>
      <c r="N61" s="60">
        <f t="shared" si="83"/>
        <v>1.4999999999999998</v>
      </c>
      <c r="O61" s="60">
        <f t="shared" si="83"/>
        <v>1.1499999999999999</v>
      </c>
      <c r="P61" s="60">
        <f t="shared" si="83"/>
        <v>1.65</v>
      </c>
      <c r="Q61" s="60">
        <f t="shared" si="83"/>
        <v>1.65</v>
      </c>
      <c r="R61" s="60">
        <f t="shared" si="83"/>
        <v>1.65</v>
      </c>
      <c r="S61" s="60">
        <f t="shared" si="83"/>
        <v>1.4999999999999998</v>
      </c>
      <c r="T61" s="60">
        <f t="shared" si="83"/>
        <v>1.1499999999999999</v>
      </c>
      <c r="U61" s="60">
        <f t="shared" si="83"/>
        <v>0.44999999999999996</v>
      </c>
      <c r="V61" s="60">
        <f t="shared" si="83"/>
        <v>1.4999999999999998</v>
      </c>
      <c r="W61" s="60">
        <f t="shared" si="83"/>
        <v>1.8499999999999999</v>
      </c>
      <c r="X61" s="60">
        <f t="shared" si="83"/>
        <v>2</v>
      </c>
      <c r="Y61" s="60">
        <f t="shared" si="83"/>
        <v>2.35</v>
      </c>
      <c r="Z61" s="60">
        <f t="shared" si="83"/>
        <v>1.8499999999999999</v>
      </c>
      <c r="AA61" s="60">
        <f t="shared" si="83"/>
        <v>2</v>
      </c>
      <c r="AB61" s="60">
        <f t="shared" si="83"/>
        <v>2</v>
      </c>
      <c r="AC61" s="60">
        <f t="shared" si="83"/>
        <v>1.4999999999999998</v>
      </c>
      <c r="AD61" s="60">
        <f t="shared" si="83"/>
        <v>1.4999999999999998</v>
      </c>
      <c r="AE61" s="60">
        <f t="shared" si="83"/>
        <v>1.4999999999999998</v>
      </c>
      <c r="AF61" s="60">
        <f t="shared" si="83"/>
        <v>1.4999999999999998</v>
      </c>
      <c r="AG61" s="60">
        <f t="shared" si="83"/>
        <v>1.4999999999999998</v>
      </c>
      <c r="AH61" s="60">
        <f t="shared" si="83"/>
        <v>1.4999999999999998</v>
      </c>
      <c r="AI61" s="60">
        <f t="shared" si="83"/>
        <v>1.4999999999999998</v>
      </c>
      <c r="AJ61" s="60">
        <f t="shared" si="83"/>
        <v>0.3</v>
      </c>
      <c r="AK61" s="60">
        <f t="shared" si="83"/>
        <v>0</v>
      </c>
      <c r="AL61" s="60">
        <f t="shared" si="83"/>
        <v>0.3</v>
      </c>
      <c r="AM61" s="60">
        <f t="shared" si="83"/>
        <v>0.3</v>
      </c>
      <c r="AN61" s="60">
        <f t="shared" si="83"/>
        <v>1</v>
      </c>
      <c r="AO61" s="60">
        <f t="shared" si="83"/>
        <v>0</v>
      </c>
      <c r="AP61" s="60">
        <f t="shared" si="83"/>
        <v>0</v>
      </c>
      <c r="AQ61" s="60">
        <f t="shared" si="83"/>
        <v>0</v>
      </c>
      <c r="AR61" s="60">
        <f t="shared" si="83"/>
        <v>0</v>
      </c>
      <c r="AS61" s="60">
        <f t="shared" si="83"/>
        <v>0</v>
      </c>
    </row>
    <row r="62" spans="1:45">
      <c r="B62" s="79">
        <v>0.7</v>
      </c>
    </row>
    <row r="63" spans="1:45">
      <c r="B63" s="79">
        <v>0.3</v>
      </c>
    </row>
    <row r="64" spans="1:45">
      <c r="B64"/>
    </row>
  </sheetData>
  <mergeCells count="2">
    <mergeCell ref="C9:J9"/>
    <mergeCell ref="K9:T9"/>
  </mergeCells>
  <phoneticPr fontId="1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57"/>
  <sheetViews>
    <sheetView topLeftCell="D1" workbookViewId="0">
      <selection activeCell="R5" sqref="R5"/>
    </sheetView>
  </sheetViews>
  <sheetFormatPr baseColWidth="10" defaultColWidth="8.875" defaultRowHeight="15"/>
  <cols>
    <col min="1" max="1" width="10.75" customWidth="1"/>
    <col min="4" max="4" width="25" customWidth="1"/>
    <col min="5" max="5" width="13" customWidth="1"/>
    <col min="17" max="17" width="12.375" customWidth="1"/>
    <col min="18" max="18" width="11.75" customWidth="1"/>
    <col min="21" max="21" width="18.375" customWidth="1"/>
  </cols>
  <sheetData>
    <row r="1" spans="1:21" ht="16" thickBot="1">
      <c r="D1" t="s">
        <v>234</v>
      </c>
      <c r="E1">
        <f>COUNTIF('Inputs and Outputs'!$D$23:$D$25,'Neighborhood Matching Prefs'!E3)*5+$D$2</f>
        <v>10</v>
      </c>
      <c r="F1">
        <f>COUNTIF('Inputs and Outputs'!$D$23:$D$25,'Neighborhood Matching Prefs'!F3)*5+$D$2</f>
        <v>15</v>
      </c>
      <c r="G1">
        <f>COUNTIF('Inputs and Outputs'!$D$23:$D$25,'Neighborhood Matching Prefs'!G3)*5+$D$2</f>
        <v>10</v>
      </c>
      <c r="H1">
        <f>COUNTIF('Inputs and Outputs'!$D$23:$D$25,'Neighborhood Matching Prefs'!H3)*5+$D$2</f>
        <v>15</v>
      </c>
      <c r="I1">
        <f>COUNTIF('Inputs and Outputs'!$D$23:$D$25,'Neighborhood Matching Prefs'!I3)*5+$D$2</f>
        <v>10</v>
      </c>
      <c r="J1">
        <f>COUNTIF('Inputs and Outputs'!$D$23:$D$25,'Neighborhood Matching Prefs'!J3)*5+$D$2</f>
        <v>15</v>
      </c>
      <c r="K1">
        <f>COUNTIF('Inputs and Outputs'!$D$23:$D$25,'Neighborhood Matching Prefs'!K3)*5+$D$2</f>
        <v>10</v>
      </c>
      <c r="L1">
        <f>COUNTIF('Inputs and Outputs'!$D$23:$D$25,'Neighborhood Matching Prefs'!L3)*5+$D$2</f>
        <v>10</v>
      </c>
      <c r="M1">
        <f>COUNTIF('Inputs and Outputs'!$D$23:$D$25,'Neighborhood Matching Prefs'!M3)*5+$D$2</f>
        <v>10</v>
      </c>
      <c r="N1">
        <f>COUNTIF('Inputs and Outputs'!$D$23:$D$25,'Neighborhood Matching Prefs'!N3)*5+$D$2</f>
        <v>10</v>
      </c>
      <c r="O1">
        <f>COUNTIF('Inputs and Outputs'!$D$23:$D$25,'Neighborhood Matching Prefs'!O3)*5+$D$2</f>
        <v>10</v>
      </c>
      <c r="P1">
        <f>COUNTIF('Inputs and Outputs'!$D$23:$D$25,'Neighborhood Matching Prefs'!P3)*5+$D$2</f>
        <v>10</v>
      </c>
      <c r="Q1">
        <f>COUNTIF('Inputs and Outputs'!$D$23:$D$25,'Neighborhood Matching Prefs'!Q3)*5+$D$2</f>
        <v>10</v>
      </c>
    </row>
    <row r="2" spans="1:21" ht="16" thickBot="1">
      <c r="A2" s="20" t="s">
        <v>233</v>
      </c>
      <c r="B2" s="20"/>
      <c r="D2" s="2">
        <v>10</v>
      </c>
      <c r="E2" s="170" t="s">
        <v>21</v>
      </c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2"/>
      <c r="T2" s="8"/>
    </row>
    <row r="3" spans="1:21" ht="16" thickBot="1">
      <c r="A3" t="s">
        <v>231</v>
      </c>
      <c r="B3" t="s">
        <v>232</v>
      </c>
      <c r="C3" s="21" t="s">
        <v>230</v>
      </c>
      <c r="D3" s="5" t="s">
        <v>146</v>
      </c>
      <c r="E3" s="4" t="s">
        <v>13</v>
      </c>
      <c r="F3" s="3" t="s">
        <v>14</v>
      </c>
      <c r="G3" s="3" t="s">
        <v>137</v>
      </c>
      <c r="H3" s="3" t="s">
        <v>138</v>
      </c>
      <c r="I3" s="3" t="s">
        <v>139</v>
      </c>
      <c r="J3" s="3" t="s">
        <v>15</v>
      </c>
      <c r="K3" s="3" t="s">
        <v>141</v>
      </c>
      <c r="L3" s="3" t="s">
        <v>16</v>
      </c>
      <c r="M3" s="3" t="s">
        <v>142</v>
      </c>
      <c r="N3" s="3" t="s">
        <v>17</v>
      </c>
      <c r="O3" s="3" t="s">
        <v>143</v>
      </c>
      <c r="P3" s="3" t="s">
        <v>18</v>
      </c>
      <c r="Q3" s="3" t="s">
        <v>19</v>
      </c>
      <c r="R3" s="8" t="s">
        <v>20</v>
      </c>
      <c r="S3" s="8" t="s">
        <v>52</v>
      </c>
      <c r="T3" s="8" t="s">
        <v>97</v>
      </c>
      <c r="U3" s="40" t="s">
        <v>146</v>
      </c>
    </row>
    <row r="4" spans="1:21">
      <c r="A4">
        <v>1</v>
      </c>
      <c r="B4">
        <v>9</v>
      </c>
      <c r="C4">
        <v>1</v>
      </c>
      <c r="D4" s="9" t="s">
        <v>11</v>
      </c>
      <c r="E4">
        <f ca="1">IF(HLOOKUP('Inputs and Outputs'!$D$6,'Neighborhood Characteristics'!$C$3:$BJ$49,'Neighborhood Matching Prefs'!$C4+1,FALSE)&gt;0,HLOOKUP('Inputs and Outputs'!$D$6,'Neighborhood Characteristics'!$C$3:$BJ$49,'Neighborhood Matching Prefs'!$C4+1,FALSE)*E$1,IF(SUM(OFFSET('Neighborhood Characteristics'!$C$3,$A4,(HLOOKUP('Inputs and Outputs'!$D$6,'Neighborhood Characteristics'!$C$3:$BJ$51,49,FALSE)),$B4,1))&gt;0,E$1/2,0))</f>
        <v>5</v>
      </c>
      <c r="F4">
        <f ca="1">IF(HLOOKUP('Inputs and Outputs'!$D$7,'Neighborhood Characteristics'!$C$3:$BJ$49,'Neighborhood Matching Prefs'!$C4+1,FALSE)&gt;0,HLOOKUP('Inputs and Outputs'!$D$7,'Neighborhood Characteristics'!$C$3:$BJ$49,'Neighborhood Matching Prefs'!$C4+1,FALSE)*F$1,IF(SUM(OFFSET('Neighborhood Characteristics'!$C$3,$A4,(HLOOKUP('Inputs and Outputs'!$D$7,'Neighborhood Characteristics'!$C$3:$BJ$51,49,FALSE)),$B4,1))&gt;0,F$1/2,0))</f>
        <v>7.5</v>
      </c>
      <c r="G4">
        <f ca="1">IF(HLOOKUP('Inputs and Outputs'!$D$8,'Neighborhood Characteristics'!$C$3:$BJ$49,'Neighborhood Matching Prefs'!$C4+1,FALSE)&gt;0,HLOOKUP('Inputs and Outputs'!$D$8,'Neighborhood Characteristics'!$C$3:$BJ$49,'Neighborhood Matching Prefs'!$C4+1,FALSE)*G$1,IF(SUM(OFFSET('Neighborhood Characteristics'!$C$3,$A4,(HLOOKUP('Inputs and Outputs'!$D$8,'Neighborhood Characteristics'!$C$3:$BJ$51,49,FALSE)),$B4,1))&gt;0,G$1/2,0))</f>
        <v>5</v>
      </c>
      <c r="H4">
        <f ca="1">IF(HLOOKUP('Inputs and Outputs'!$D$9,'Neighborhood Characteristics'!$C$3:$BJ$49,'Neighborhood Matching Prefs'!$C4+1,FALSE)&gt;0,HLOOKUP('Inputs and Outputs'!$D$9,'Neighborhood Characteristics'!$C$3:$BJ$49,'Neighborhood Matching Prefs'!$C4+1,FALSE)*H$1,IF(SUM(OFFSET('Neighborhood Characteristics'!$C$3,$A4,(HLOOKUP('Inputs and Outputs'!$D$9,'Neighborhood Characteristics'!$C$3:$BJ$51,49,FALSE)),$B4,1))&gt;0,H$1/2,0))</f>
        <v>15</v>
      </c>
      <c r="I4">
        <f ca="1">IF(HLOOKUP('Inputs and Outputs'!$D$10,'Neighborhood Characteristics'!$C$3:$BJ$49,'Neighborhood Matching Prefs'!$C4+1,FALSE)&gt;0,HLOOKUP('Inputs and Outputs'!$D$10,'Neighborhood Characteristics'!$C$3:$BJ$49,'Neighborhood Matching Prefs'!$C4+1,FALSE)*I$1,IF(SUM(OFFSET('Neighborhood Characteristics'!$C$3,$A4,(HLOOKUP('Inputs and Outputs'!$D$10,'Neighborhood Characteristics'!$C$3:$BJ$51,49,FALSE)),$B4,1))&gt;0,I$1/2,0))</f>
        <v>0</v>
      </c>
      <c r="J4">
        <f ca="1">IF(HLOOKUP('Inputs and Outputs'!$D$11,'Neighborhood Characteristics'!$C$3:$BJ$49,'Neighborhood Matching Prefs'!$C4+1,FALSE)&gt;0,HLOOKUP('Inputs and Outputs'!$D$11,'Neighborhood Characteristics'!$C$3:$BJ$49,'Neighborhood Matching Prefs'!$C4+1,FALSE)*J$1,IF(SUM(OFFSET('Neighborhood Characteristics'!$C$3,$A4,(HLOOKUP('Inputs and Outputs'!$D$11,'Neighborhood Characteristics'!$C$3:$BJ$51,49,FALSE)),$B4,1))&gt;0,J$1/2,0))</f>
        <v>15</v>
      </c>
      <c r="K4">
        <f ca="1">IF(HLOOKUP('Inputs and Outputs'!$D$12,'Neighborhood Characteristics'!$C$3:$BJ$49,'Neighborhood Matching Prefs'!$C4+1,FALSE)&gt;0,HLOOKUP('Inputs and Outputs'!$D$12,'Neighborhood Characteristics'!$C$3:$BJ$49,'Neighborhood Matching Prefs'!$C4+1,FALSE)*K$1,IF(SUM(OFFSET('Neighborhood Characteristics'!$C$3,$A4,(HLOOKUP('Inputs and Outputs'!$D$12,'Neighborhood Characteristics'!$C$3:$BJ$51,49,FALSE)),$B4,1))&gt;0,K$1/2,0))</f>
        <v>5</v>
      </c>
      <c r="L4">
        <f ca="1">IF(HLOOKUP('Inputs and Outputs'!$D$13,'Neighborhood Characteristics'!$C$3:$BJ$49,'Neighborhood Matching Prefs'!$C4+1,FALSE)&gt;0,HLOOKUP('Inputs and Outputs'!$D$13,'Neighborhood Characteristics'!$C$3:$BJ$49,'Neighborhood Matching Prefs'!$C4+1,FALSE)*L$1,IF(SUM(OFFSET('Neighborhood Characteristics'!$C$3,$A4,(HLOOKUP('Inputs and Outputs'!$D$13,'Neighborhood Characteristics'!$C$3:$BJ$51,49,FALSE)),$B4,1))&gt;0,L$1/2,0))</f>
        <v>0</v>
      </c>
      <c r="M4">
        <f ca="1">IF(HLOOKUP('Inputs and Outputs'!$D$14,'Neighborhood Characteristics'!$C$3:$BJ$49,'Neighborhood Matching Prefs'!$C4+1,FALSE)&gt;0,HLOOKUP('Inputs and Outputs'!$D$14,'Neighborhood Characteristics'!$C$3:$BJ$49,'Neighborhood Matching Prefs'!$C4+1,FALSE)*M$1,IF(SUM(OFFSET('Neighborhood Characteristics'!$C$3,$A4,(HLOOKUP('Inputs and Outputs'!$D$14,'Neighborhood Characteristics'!$C$3:$BJ$51,49,FALSE)),$B4,1))&gt;0,M$1/2,0))</f>
        <v>0</v>
      </c>
      <c r="N4">
        <f ca="1">IF(HLOOKUP('Inputs and Outputs'!$D$15,'Neighborhood Characteristics'!$C$3:$BJ$49,'Neighborhood Matching Prefs'!$C4+1,FALSE)&gt;0,HLOOKUP('Inputs and Outputs'!$D$15,'Neighborhood Characteristics'!$C$3:$BJ$49,'Neighborhood Matching Prefs'!$C4+1,FALSE)*N$1,IF(SUM(OFFSET('Neighborhood Characteristics'!$C$3,$A4,(HLOOKUP('Inputs and Outputs'!$D$15,'Neighborhood Characteristics'!$C$3:$BJ$51,49,FALSE)),$B4,1))&gt;0,N$1/2,0))</f>
        <v>0</v>
      </c>
      <c r="O4">
        <f ca="1">IF(HLOOKUP('Inputs and Outputs'!$D$16,'Neighborhood Characteristics'!$C$3:$BJ$49,'Neighborhood Matching Prefs'!$C4+1,FALSE)&gt;0,HLOOKUP('Inputs and Outputs'!$D$16,'Neighborhood Characteristics'!$C$3:$BJ$49,'Neighborhood Matching Prefs'!$C4+1,FALSE)*O$1,IF(SUM(OFFSET('Neighborhood Characteristics'!$C$3,$A4,(HLOOKUP('Inputs and Outputs'!$D$16,'Neighborhood Characteristics'!$C$3:$BJ$51,49,FALSE)),$B4,1))&gt;0,O$1/2,0))</f>
        <v>5</v>
      </c>
      <c r="P4">
        <f ca="1">IF(HLOOKUP('Inputs and Outputs'!$D$17,'Neighborhood Characteristics'!$C$3:$BJ$49,'Neighborhood Matching Prefs'!$C4+1,FALSE)&gt;0,HLOOKUP('Inputs and Outputs'!$D$17,'Neighborhood Characteristics'!$C$3:$BJ$49,'Neighborhood Matching Prefs'!$C4+1,FALSE)*P$1,IF(SUM(OFFSET('Neighborhood Characteristics'!$C$3,$A4,(HLOOKUP('Inputs and Outputs'!$D$17,'Neighborhood Characteristics'!$C$3:$BJ$51,49,FALSE)),$B4,1))&gt;0,P$1/2,0))</f>
        <v>10</v>
      </c>
      <c r="Q4" s="78">
        <f>IFERROR(HLOOKUP(D4,'Commuter Model'!$C$12:$AS$61,50,FALSE),0)*$Q$1</f>
        <v>12.999999999999998</v>
      </c>
      <c r="R4">
        <f ca="1">SUM(E4:Q4)</f>
        <v>80.5</v>
      </c>
      <c r="S4">
        <f ca="1">RANK(R4,$R$4:$R$49,0)</f>
        <v>32</v>
      </c>
      <c r="T4">
        <f ca="1">IF(COUNTIF($S$2:S3,S4)&gt;0,COUNTIF($S$2:S3,S4)+S4,S4)</f>
        <v>32</v>
      </c>
      <c r="U4" t="s">
        <v>11</v>
      </c>
    </row>
    <row r="5" spans="1:21">
      <c r="A5">
        <v>1</v>
      </c>
      <c r="B5">
        <v>9</v>
      </c>
      <c r="C5">
        <f>C4+1</f>
        <v>2</v>
      </c>
      <c r="D5" s="10" t="s">
        <v>6</v>
      </c>
      <c r="E5">
        <f ca="1">IF(HLOOKUP('Inputs and Outputs'!$D$6,'Neighborhood Characteristics'!$C$3:$BJ$49,'Neighborhood Matching Prefs'!$C5+1,FALSE)&gt;0,HLOOKUP('Inputs and Outputs'!$D$6,'Neighborhood Characteristics'!$C$3:$BJ$49,'Neighborhood Matching Prefs'!$C5+1,FALSE)*E$1,IF(SUM(OFFSET('Neighborhood Characteristics'!$C$3,$A5,(HLOOKUP('Inputs and Outputs'!$D$6,'Neighborhood Characteristics'!$C$3:$BJ$51,49,FALSE)),$B5,1))&gt;0,E$1/2,0))</f>
        <v>10</v>
      </c>
      <c r="F5">
        <f ca="1">IF(HLOOKUP('Inputs and Outputs'!$D$7,'Neighborhood Characteristics'!$C$3:$BJ$49,'Neighborhood Matching Prefs'!$C5+1,FALSE)&gt;0,HLOOKUP('Inputs and Outputs'!$D$7,'Neighborhood Characteristics'!$C$3:$BJ$49,'Neighborhood Matching Prefs'!$C5+1,FALSE)*F$1,IF(SUM(OFFSET('Neighborhood Characteristics'!$C$3,$A5,(HLOOKUP('Inputs and Outputs'!$D$7,'Neighborhood Characteristics'!$C$3:$BJ$51,49,FALSE)),$B5,1))&gt;0,F$1/2,0))</f>
        <v>15</v>
      </c>
      <c r="G5">
        <f ca="1">IF(HLOOKUP('Inputs and Outputs'!$D$8,'Neighborhood Characteristics'!$C$3:$BJ$49,'Neighborhood Matching Prefs'!$C5+1,FALSE)&gt;0,HLOOKUP('Inputs and Outputs'!$D$8,'Neighborhood Characteristics'!$C$3:$BJ$49,'Neighborhood Matching Prefs'!$C5+1,FALSE)*G$1,IF(SUM(OFFSET('Neighborhood Characteristics'!$C$3,$A5,(HLOOKUP('Inputs and Outputs'!$D$8,'Neighborhood Characteristics'!$C$3:$BJ$51,49,FALSE)),$B5,1))&gt;0,G$1/2,0))</f>
        <v>5</v>
      </c>
      <c r="H5">
        <f ca="1">IF(HLOOKUP('Inputs and Outputs'!$D$9,'Neighborhood Characteristics'!$C$3:$BJ$49,'Neighborhood Matching Prefs'!$C5+1,FALSE)&gt;0,HLOOKUP('Inputs and Outputs'!$D$9,'Neighborhood Characteristics'!$C$3:$BJ$49,'Neighborhood Matching Prefs'!$C5+1,FALSE)*H$1,IF(SUM(OFFSET('Neighborhood Characteristics'!$C$3,$A5,(HLOOKUP('Inputs and Outputs'!$D$9,'Neighborhood Characteristics'!$C$3:$BJ$51,49,FALSE)),$B5,1))&gt;0,H$1/2,0))</f>
        <v>30</v>
      </c>
      <c r="I5">
        <f ca="1">IF(HLOOKUP('Inputs and Outputs'!$D$10,'Neighborhood Characteristics'!$C$3:$BJ$49,'Neighborhood Matching Prefs'!$C5+1,FALSE)&gt;0,HLOOKUP('Inputs and Outputs'!$D$10,'Neighborhood Characteristics'!$C$3:$BJ$49,'Neighborhood Matching Prefs'!$C5+1,FALSE)*I$1,IF(SUM(OFFSET('Neighborhood Characteristics'!$C$3,$A5,(HLOOKUP('Inputs and Outputs'!$D$10,'Neighborhood Characteristics'!$C$3:$BJ$51,49,FALSE)),$B5,1))&gt;0,I$1/2,0))</f>
        <v>0</v>
      </c>
      <c r="J5">
        <f ca="1">IF(HLOOKUP('Inputs and Outputs'!$D$11,'Neighborhood Characteristics'!$C$3:$BJ$49,'Neighborhood Matching Prefs'!$C5+1,FALSE)&gt;0,HLOOKUP('Inputs and Outputs'!$D$11,'Neighborhood Characteristics'!$C$3:$BJ$49,'Neighborhood Matching Prefs'!$C5+1,FALSE)*J$1,IF(SUM(OFFSET('Neighborhood Characteristics'!$C$3,$A5,(HLOOKUP('Inputs and Outputs'!$D$11,'Neighborhood Characteristics'!$C$3:$BJ$51,49,FALSE)),$B5,1))&gt;0,J$1/2,0))</f>
        <v>15</v>
      </c>
      <c r="K5">
        <f ca="1">IF(HLOOKUP('Inputs and Outputs'!$D$12,'Neighborhood Characteristics'!$C$3:$BJ$49,'Neighborhood Matching Prefs'!$C5+1,FALSE)&gt;0,HLOOKUP('Inputs and Outputs'!$D$12,'Neighborhood Characteristics'!$C$3:$BJ$49,'Neighborhood Matching Prefs'!$C5+1,FALSE)*K$1,IF(SUM(OFFSET('Neighborhood Characteristics'!$C$3,$A5,(HLOOKUP('Inputs and Outputs'!$D$12,'Neighborhood Characteristics'!$C$3:$BJ$51,49,FALSE)),$B5,1))&gt;0,K$1/2,0))</f>
        <v>5</v>
      </c>
      <c r="L5">
        <f ca="1">IF(HLOOKUP('Inputs and Outputs'!$D$13,'Neighborhood Characteristics'!$C$3:$BJ$49,'Neighborhood Matching Prefs'!$C5+1,FALSE)&gt;0,HLOOKUP('Inputs and Outputs'!$D$13,'Neighborhood Characteristics'!$C$3:$BJ$49,'Neighborhood Matching Prefs'!$C5+1,FALSE)*L$1,IF(SUM(OFFSET('Neighborhood Characteristics'!$C$3,$A5,(HLOOKUP('Inputs and Outputs'!$D$13,'Neighborhood Characteristics'!$C$3:$BJ$51,49,FALSE)),$B5,1))&gt;0,L$1/2,0))</f>
        <v>0</v>
      </c>
      <c r="M5">
        <f ca="1">IF(HLOOKUP('Inputs and Outputs'!$D$14,'Neighborhood Characteristics'!$C$3:$BJ$49,'Neighborhood Matching Prefs'!$C5+1,FALSE)&gt;0,HLOOKUP('Inputs and Outputs'!$D$14,'Neighborhood Characteristics'!$C$3:$BJ$49,'Neighborhood Matching Prefs'!$C5+1,FALSE)*M$1,IF(SUM(OFFSET('Neighborhood Characteristics'!$C$3,$A5,(HLOOKUP('Inputs and Outputs'!$D$14,'Neighborhood Characteristics'!$C$3:$BJ$51,49,FALSE)),$B5,1))&gt;0,M$1/2,0))</f>
        <v>0</v>
      </c>
      <c r="N5">
        <f ca="1">IF(HLOOKUP('Inputs and Outputs'!$D$15,'Neighborhood Characteristics'!$C$3:$BJ$49,'Neighborhood Matching Prefs'!$C5+1,FALSE)&gt;0,HLOOKUP('Inputs and Outputs'!$D$15,'Neighborhood Characteristics'!$C$3:$BJ$49,'Neighborhood Matching Prefs'!$C5+1,FALSE)*N$1,IF(SUM(OFFSET('Neighborhood Characteristics'!$C$3,$A5,(HLOOKUP('Inputs and Outputs'!$D$15,'Neighborhood Characteristics'!$C$3:$BJ$51,49,FALSE)),$B5,1))&gt;0,N$1/2,0))</f>
        <v>0</v>
      </c>
      <c r="O5">
        <f ca="1">IF(HLOOKUP('Inputs and Outputs'!$D$16,'Neighborhood Characteristics'!$C$3:$BJ$49,'Neighborhood Matching Prefs'!$C5+1,FALSE)&gt;0,HLOOKUP('Inputs and Outputs'!$D$16,'Neighborhood Characteristics'!$C$3:$BJ$49,'Neighborhood Matching Prefs'!$C5+1,FALSE)*O$1,IF(SUM(OFFSET('Neighborhood Characteristics'!$C$3,$A5,(HLOOKUP('Inputs and Outputs'!$D$16,'Neighborhood Characteristics'!$C$3:$BJ$51,49,FALSE)),$B5,1))&gt;0,O$1/2,0))</f>
        <v>10</v>
      </c>
      <c r="P5">
        <f ca="1">IF(HLOOKUP('Inputs and Outputs'!$D$17,'Neighborhood Characteristics'!$C$3:$BJ$49,'Neighborhood Matching Prefs'!$C5+1,FALSE)&gt;0,HLOOKUP('Inputs and Outputs'!$D$17,'Neighborhood Characteristics'!$C$3:$BJ$49,'Neighborhood Matching Prefs'!$C5+1,FALSE)*P$1,IF(SUM(OFFSET('Neighborhood Characteristics'!$C$3,$A5,(HLOOKUP('Inputs and Outputs'!$D$17,'Neighborhood Characteristics'!$C$3:$BJ$51,49,FALSE)),$B5,1))&gt;0,P$1/2,0))</f>
        <v>10</v>
      </c>
      <c r="Q5" s="78">
        <f>IFERROR(HLOOKUP(D5,'Commuter Model'!$C$12:$AS$61,50,FALSE),0)*$Q$1</f>
        <v>20</v>
      </c>
      <c r="R5">
        <f t="shared" ref="R5:R49" ca="1" si="0">SUM(E5:Q5)</f>
        <v>120</v>
      </c>
      <c r="S5">
        <f t="shared" ref="S5:S49" ca="1" si="1">RANK(R5,$R$4:$R$49,0)</f>
        <v>4</v>
      </c>
      <c r="T5">
        <f ca="1">IF(COUNTIF($S$2:S4,S5)&gt;0,COUNTIF($S$2:S4,S5)+S5,S5)</f>
        <v>4</v>
      </c>
      <c r="U5" t="s">
        <v>6</v>
      </c>
    </row>
    <row r="6" spans="1:21">
      <c r="A6">
        <v>1</v>
      </c>
      <c r="B6">
        <v>9</v>
      </c>
      <c r="C6">
        <f t="shared" ref="C6:C49" si="2">C5+1</f>
        <v>3</v>
      </c>
      <c r="D6" s="10" t="s">
        <v>57</v>
      </c>
      <c r="E6">
        <f ca="1">IF(HLOOKUP('Inputs and Outputs'!$D$6,'Neighborhood Characteristics'!$C$3:$BJ$49,'Neighborhood Matching Prefs'!$C6+1,FALSE)&gt;0,HLOOKUP('Inputs and Outputs'!$D$6,'Neighborhood Characteristics'!$C$3:$BJ$49,'Neighborhood Matching Prefs'!$C6+1,FALSE)*E$1,IF(SUM(OFFSET('Neighborhood Characteristics'!$C$3,$A6,(HLOOKUP('Inputs and Outputs'!$D$6,'Neighborhood Characteristics'!$C$3:$BJ$51,49,FALSE)),$B6,1))&gt;0,E$1/2,0))</f>
        <v>10</v>
      </c>
      <c r="F6">
        <f ca="1">IF(HLOOKUP('Inputs and Outputs'!$D$7,'Neighborhood Characteristics'!$C$3:$BJ$49,'Neighborhood Matching Prefs'!$C6+1,FALSE)&gt;0,HLOOKUP('Inputs and Outputs'!$D$7,'Neighborhood Characteristics'!$C$3:$BJ$49,'Neighborhood Matching Prefs'!$C6+1,FALSE)*F$1,IF(SUM(OFFSET('Neighborhood Characteristics'!$C$3,$A6,(HLOOKUP('Inputs and Outputs'!$D$7,'Neighborhood Characteristics'!$C$3:$BJ$51,49,FALSE)),$B6,1))&gt;0,F$1/2,0))</f>
        <v>7.5</v>
      </c>
      <c r="G6">
        <f ca="1">IF(HLOOKUP('Inputs and Outputs'!$D$8,'Neighborhood Characteristics'!$C$3:$BJ$49,'Neighborhood Matching Prefs'!$C6+1,FALSE)&gt;0,HLOOKUP('Inputs and Outputs'!$D$8,'Neighborhood Characteristics'!$C$3:$BJ$49,'Neighborhood Matching Prefs'!$C6+1,FALSE)*G$1,IF(SUM(OFFSET('Neighborhood Characteristics'!$C$3,$A6,(HLOOKUP('Inputs and Outputs'!$D$8,'Neighborhood Characteristics'!$C$3:$BJ$51,49,FALSE)),$B6,1))&gt;0,G$1/2,0))</f>
        <v>5</v>
      </c>
      <c r="H6">
        <f ca="1">IF(HLOOKUP('Inputs and Outputs'!$D$9,'Neighborhood Characteristics'!$C$3:$BJ$49,'Neighborhood Matching Prefs'!$C6+1,FALSE)&gt;0,HLOOKUP('Inputs and Outputs'!$D$9,'Neighborhood Characteristics'!$C$3:$BJ$49,'Neighborhood Matching Prefs'!$C6+1,FALSE)*H$1,IF(SUM(OFFSET('Neighborhood Characteristics'!$C$3,$A6,(HLOOKUP('Inputs and Outputs'!$D$9,'Neighborhood Characteristics'!$C$3:$BJ$51,49,FALSE)),$B6,1))&gt;0,H$1/2,0))</f>
        <v>30</v>
      </c>
      <c r="I6">
        <f ca="1">IF(HLOOKUP('Inputs and Outputs'!$D$10,'Neighborhood Characteristics'!$C$3:$BJ$49,'Neighborhood Matching Prefs'!$C6+1,FALSE)&gt;0,HLOOKUP('Inputs and Outputs'!$D$10,'Neighborhood Characteristics'!$C$3:$BJ$49,'Neighborhood Matching Prefs'!$C6+1,FALSE)*I$1,IF(SUM(OFFSET('Neighborhood Characteristics'!$C$3,$A6,(HLOOKUP('Inputs and Outputs'!$D$10,'Neighborhood Characteristics'!$C$3:$BJ$51,49,FALSE)),$B6,1))&gt;0,I$1/2,0))</f>
        <v>0</v>
      </c>
      <c r="J6">
        <f ca="1">IF(HLOOKUP('Inputs and Outputs'!$D$11,'Neighborhood Characteristics'!$C$3:$BJ$49,'Neighborhood Matching Prefs'!$C6+1,FALSE)&gt;0,HLOOKUP('Inputs and Outputs'!$D$11,'Neighborhood Characteristics'!$C$3:$BJ$49,'Neighborhood Matching Prefs'!$C6+1,FALSE)*J$1,IF(SUM(OFFSET('Neighborhood Characteristics'!$C$3,$A6,(HLOOKUP('Inputs and Outputs'!$D$11,'Neighborhood Characteristics'!$C$3:$BJ$51,49,FALSE)),$B6,1))&gt;0,J$1/2,0))</f>
        <v>15</v>
      </c>
      <c r="K6">
        <f ca="1">IF(HLOOKUP('Inputs and Outputs'!$D$12,'Neighborhood Characteristics'!$C$3:$BJ$49,'Neighborhood Matching Prefs'!$C6+1,FALSE)&gt;0,HLOOKUP('Inputs and Outputs'!$D$12,'Neighborhood Characteristics'!$C$3:$BJ$49,'Neighborhood Matching Prefs'!$C6+1,FALSE)*K$1,IF(SUM(OFFSET('Neighborhood Characteristics'!$C$3,$A6,(HLOOKUP('Inputs and Outputs'!$D$12,'Neighborhood Characteristics'!$C$3:$BJ$51,49,FALSE)),$B6,1))&gt;0,K$1/2,0))</f>
        <v>5</v>
      </c>
      <c r="L6">
        <f ca="1">IF(HLOOKUP('Inputs and Outputs'!$D$13,'Neighborhood Characteristics'!$C$3:$BJ$49,'Neighborhood Matching Prefs'!$C6+1,FALSE)&gt;0,HLOOKUP('Inputs and Outputs'!$D$13,'Neighborhood Characteristics'!$C$3:$BJ$49,'Neighborhood Matching Prefs'!$C6+1,FALSE)*L$1,IF(SUM(OFFSET('Neighborhood Characteristics'!$C$3,$A6,(HLOOKUP('Inputs and Outputs'!$D$13,'Neighborhood Characteristics'!$C$3:$BJ$51,49,FALSE)),$B6,1))&gt;0,L$1/2,0))</f>
        <v>0</v>
      </c>
      <c r="M6">
        <f ca="1">IF(HLOOKUP('Inputs and Outputs'!$D$14,'Neighborhood Characteristics'!$C$3:$BJ$49,'Neighborhood Matching Prefs'!$C6+1,FALSE)&gt;0,HLOOKUP('Inputs and Outputs'!$D$14,'Neighborhood Characteristics'!$C$3:$BJ$49,'Neighborhood Matching Prefs'!$C6+1,FALSE)*M$1,IF(SUM(OFFSET('Neighborhood Characteristics'!$C$3,$A6,(HLOOKUP('Inputs and Outputs'!$D$14,'Neighborhood Characteristics'!$C$3:$BJ$51,49,FALSE)),$B6,1))&gt;0,M$1/2,0))</f>
        <v>0</v>
      </c>
      <c r="N6">
        <f ca="1">IF(HLOOKUP('Inputs and Outputs'!$D$15,'Neighborhood Characteristics'!$C$3:$BJ$49,'Neighborhood Matching Prefs'!$C6+1,FALSE)&gt;0,HLOOKUP('Inputs and Outputs'!$D$15,'Neighborhood Characteristics'!$C$3:$BJ$49,'Neighborhood Matching Prefs'!$C6+1,FALSE)*N$1,IF(SUM(OFFSET('Neighborhood Characteristics'!$C$3,$A6,(HLOOKUP('Inputs and Outputs'!$D$15,'Neighborhood Characteristics'!$C$3:$BJ$51,49,FALSE)),$B6,1))&gt;0,N$1/2,0))</f>
        <v>0</v>
      </c>
      <c r="O6">
        <f ca="1">IF(HLOOKUP('Inputs and Outputs'!$D$16,'Neighborhood Characteristics'!$C$3:$BJ$49,'Neighborhood Matching Prefs'!$C6+1,FALSE)&gt;0,HLOOKUP('Inputs and Outputs'!$D$16,'Neighborhood Characteristics'!$C$3:$BJ$49,'Neighborhood Matching Prefs'!$C6+1,FALSE)*O$1,IF(SUM(OFFSET('Neighborhood Characteristics'!$C$3,$A6,(HLOOKUP('Inputs and Outputs'!$D$16,'Neighborhood Characteristics'!$C$3:$BJ$51,49,FALSE)),$B6,1))&gt;0,O$1/2,0))</f>
        <v>10</v>
      </c>
      <c r="P6">
        <f ca="1">IF(HLOOKUP('Inputs and Outputs'!$D$17,'Neighborhood Characteristics'!$C$3:$BJ$49,'Neighborhood Matching Prefs'!$C6+1,FALSE)&gt;0,HLOOKUP('Inputs and Outputs'!$D$17,'Neighborhood Characteristics'!$C$3:$BJ$49,'Neighborhood Matching Prefs'!$C6+1,FALSE)*P$1,IF(SUM(OFFSET('Neighborhood Characteristics'!$C$3,$A6,(HLOOKUP('Inputs and Outputs'!$D$17,'Neighborhood Characteristics'!$C$3:$BJ$51,49,FALSE)),$B6,1))&gt;0,P$1/2,0))</f>
        <v>10</v>
      </c>
      <c r="Q6" s="78">
        <f>IFERROR(HLOOKUP(D6,'Commuter Model'!$C$12:$AS$61,50,FALSE),0)*$Q$1</f>
        <v>20</v>
      </c>
      <c r="R6">
        <f t="shared" ca="1" si="0"/>
        <v>112.5</v>
      </c>
      <c r="S6">
        <f t="shared" ca="1" si="1"/>
        <v>6</v>
      </c>
      <c r="T6">
        <f ca="1">IF(COUNTIF($S$2:S5,S6)&gt;0,COUNTIF($S$2:S5,S6)+S6,S6)</f>
        <v>6</v>
      </c>
      <c r="U6" t="s">
        <v>57</v>
      </c>
    </row>
    <row r="7" spans="1:21">
      <c r="A7">
        <v>1</v>
      </c>
      <c r="B7">
        <v>9</v>
      </c>
      <c r="C7">
        <f t="shared" si="2"/>
        <v>4</v>
      </c>
      <c r="D7" s="10" t="s">
        <v>10</v>
      </c>
      <c r="E7">
        <f ca="1">IF(HLOOKUP('Inputs and Outputs'!$D$6,'Neighborhood Characteristics'!$C$3:$BJ$49,'Neighborhood Matching Prefs'!$C7+1,FALSE)&gt;0,HLOOKUP('Inputs and Outputs'!$D$6,'Neighborhood Characteristics'!$C$3:$BJ$49,'Neighborhood Matching Prefs'!$C7+1,FALSE)*E$1,IF(SUM(OFFSET('Neighborhood Characteristics'!$C$3,$A7,(HLOOKUP('Inputs and Outputs'!$D$6,'Neighborhood Characteristics'!$C$3:$BJ$51,49,FALSE)),$B7,1))&gt;0,E$1/2,0))</f>
        <v>5</v>
      </c>
      <c r="F7">
        <f ca="1">IF(HLOOKUP('Inputs and Outputs'!$D$7,'Neighborhood Characteristics'!$C$3:$BJ$49,'Neighborhood Matching Prefs'!$C7+1,FALSE)&gt;0,HLOOKUP('Inputs and Outputs'!$D$7,'Neighborhood Characteristics'!$C$3:$BJ$49,'Neighborhood Matching Prefs'!$C7+1,FALSE)*F$1,IF(SUM(OFFSET('Neighborhood Characteristics'!$C$3,$A7,(HLOOKUP('Inputs and Outputs'!$D$7,'Neighborhood Characteristics'!$C$3:$BJ$51,49,FALSE)),$B7,1))&gt;0,F$1/2,0))</f>
        <v>7.5</v>
      </c>
      <c r="G7">
        <f ca="1">IF(HLOOKUP('Inputs and Outputs'!$D$8,'Neighborhood Characteristics'!$C$3:$BJ$49,'Neighborhood Matching Prefs'!$C7+1,FALSE)&gt;0,HLOOKUP('Inputs and Outputs'!$D$8,'Neighborhood Characteristics'!$C$3:$BJ$49,'Neighborhood Matching Prefs'!$C7+1,FALSE)*G$1,IF(SUM(OFFSET('Neighborhood Characteristics'!$C$3,$A7,(HLOOKUP('Inputs and Outputs'!$D$8,'Neighborhood Characteristics'!$C$3:$BJ$51,49,FALSE)),$B7,1))&gt;0,G$1/2,0))</f>
        <v>5</v>
      </c>
      <c r="H7">
        <f ca="1">IF(HLOOKUP('Inputs and Outputs'!$D$9,'Neighborhood Characteristics'!$C$3:$BJ$49,'Neighborhood Matching Prefs'!$C7+1,FALSE)&gt;0,HLOOKUP('Inputs and Outputs'!$D$9,'Neighborhood Characteristics'!$C$3:$BJ$49,'Neighborhood Matching Prefs'!$C7+1,FALSE)*H$1,IF(SUM(OFFSET('Neighborhood Characteristics'!$C$3,$A7,(HLOOKUP('Inputs and Outputs'!$D$9,'Neighborhood Characteristics'!$C$3:$BJ$51,49,FALSE)),$B7,1))&gt;0,H$1/2,0))</f>
        <v>15</v>
      </c>
      <c r="I7">
        <f ca="1">IF(HLOOKUP('Inputs and Outputs'!$D$10,'Neighborhood Characteristics'!$C$3:$BJ$49,'Neighborhood Matching Prefs'!$C7+1,FALSE)&gt;0,HLOOKUP('Inputs and Outputs'!$D$10,'Neighborhood Characteristics'!$C$3:$BJ$49,'Neighborhood Matching Prefs'!$C7+1,FALSE)*I$1,IF(SUM(OFFSET('Neighborhood Characteristics'!$C$3,$A7,(HLOOKUP('Inputs and Outputs'!$D$10,'Neighborhood Characteristics'!$C$3:$BJ$51,49,FALSE)),$B7,1))&gt;0,I$1/2,0))</f>
        <v>0</v>
      </c>
      <c r="J7">
        <f ca="1">IF(HLOOKUP('Inputs and Outputs'!$D$11,'Neighborhood Characteristics'!$C$3:$BJ$49,'Neighborhood Matching Prefs'!$C7+1,FALSE)&gt;0,HLOOKUP('Inputs and Outputs'!$D$11,'Neighborhood Characteristics'!$C$3:$BJ$49,'Neighborhood Matching Prefs'!$C7+1,FALSE)*J$1,IF(SUM(OFFSET('Neighborhood Characteristics'!$C$3,$A7,(HLOOKUP('Inputs and Outputs'!$D$11,'Neighborhood Characteristics'!$C$3:$BJ$51,49,FALSE)),$B7,1))&gt;0,J$1/2,0))</f>
        <v>15</v>
      </c>
      <c r="K7">
        <f ca="1">IF(HLOOKUP('Inputs and Outputs'!$D$12,'Neighborhood Characteristics'!$C$3:$BJ$49,'Neighborhood Matching Prefs'!$C7+1,FALSE)&gt;0,HLOOKUP('Inputs and Outputs'!$D$12,'Neighborhood Characteristics'!$C$3:$BJ$49,'Neighborhood Matching Prefs'!$C7+1,FALSE)*K$1,IF(SUM(OFFSET('Neighborhood Characteristics'!$C$3,$A7,(HLOOKUP('Inputs and Outputs'!$D$12,'Neighborhood Characteristics'!$C$3:$BJ$51,49,FALSE)),$B7,1))&gt;0,K$1/2,0))</f>
        <v>5</v>
      </c>
      <c r="L7">
        <f ca="1">IF(HLOOKUP('Inputs and Outputs'!$D$13,'Neighborhood Characteristics'!$C$3:$BJ$49,'Neighborhood Matching Prefs'!$C7+1,FALSE)&gt;0,HLOOKUP('Inputs and Outputs'!$D$13,'Neighborhood Characteristics'!$C$3:$BJ$49,'Neighborhood Matching Prefs'!$C7+1,FALSE)*L$1,IF(SUM(OFFSET('Neighborhood Characteristics'!$C$3,$A7,(HLOOKUP('Inputs and Outputs'!$D$13,'Neighborhood Characteristics'!$C$3:$BJ$51,49,FALSE)),$B7,1))&gt;0,L$1/2,0))</f>
        <v>0</v>
      </c>
      <c r="M7">
        <f ca="1">IF(HLOOKUP('Inputs and Outputs'!$D$14,'Neighborhood Characteristics'!$C$3:$BJ$49,'Neighborhood Matching Prefs'!$C7+1,FALSE)&gt;0,HLOOKUP('Inputs and Outputs'!$D$14,'Neighborhood Characteristics'!$C$3:$BJ$49,'Neighborhood Matching Prefs'!$C7+1,FALSE)*M$1,IF(SUM(OFFSET('Neighborhood Characteristics'!$C$3,$A7,(HLOOKUP('Inputs and Outputs'!$D$14,'Neighborhood Characteristics'!$C$3:$BJ$51,49,FALSE)),$B7,1))&gt;0,M$1/2,0))</f>
        <v>0</v>
      </c>
      <c r="N7">
        <f ca="1">IF(HLOOKUP('Inputs and Outputs'!$D$15,'Neighborhood Characteristics'!$C$3:$BJ$49,'Neighborhood Matching Prefs'!$C7+1,FALSE)&gt;0,HLOOKUP('Inputs and Outputs'!$D$15,'Neighborhood Characteristics'!$C$3:$BJ$49,'Neighborhood Matching Prefs'!$C7+1,FALSE)*N$1,IF(SUM(OFFSET('Neighborhood Characteristics'!$C$3,$A7,(HLOOKUP('Inputs and Outputs'!$D$15,'Neighborhood Characteristics'!$C$3:$BJ$51,49,FALSE)),$B7,1))&gt;0,N$1/2,0))</f>
        <v>0</v>
      </c>
      <c r="O7">
        <f ca="1">IF(HLOOKUP('Inputs and Outputs'!$D$16,'Neighborhood Characteristics'!$C$3:$BJ$49,'Neighborhood Matching Prefs'!$C7+1,FALSE)&gt;0,HLOOKUP('Inputs and Outputs'!$D$16,'Neighborhood Characteristics'!$C$3:$BJ$49,'Neighborhood Matching Prefs'!$C7+1,FALSE)*O$1,IF(SUM(OFFSET('Neighborhood Characteristics'!$C$3,$A7,(HLOOKUP('Inputs and Outputs'!$D$16,'Neighborhood Characteristics'!$C$3:$BJ$51,49,FALSE)),$B7,1))&gt;0,O$1/2,0))</f>
        <v>5</v>
      </c>
      <c r="P7">
        <f ca="1">IF(HLOOKUP('Inputs and Outputs'!$D$17,'Neighborhood Characteristics'!$C$3:$BJ$49,'Neighborhood Matching Prefs'!$C7+1,FALSE)&gt;0,HLOOKUP('Inputs and Outputs'!$D$17,'Neighborhood Characteristics'!$C$3:$BJ$49,'Neighborhood Matching Prefs'!$C7+1,FALSE)*P$1,IF(SUM(OFFSET('Neighborhood Characteristics'!$C$3,$A7,(HLOOKUP('Inputs and Outputs'!$D$17,'Neighborhood Characteristics'!$C$3:$BJ$51,49,FALSE)),$B7,1))&gt;0,P$1/2,0))</f>
        <v>10</v>
      </c>
      <c r="Q7" s="78">
        <f>IFERROR(HLOOKUP(D7,'Commuter Model'!$C$12:$AS$61,50,FALSE),0)*$Q$1</f>
        <v>16.5</v>
      </c>
      <c r="R7">
        <f t="shared" ca="1" si="0"/>
        <v>84</v>
      </c>
      <c r="S7">
        <f t="shared" ca="1" si="1"/>
        <v>29</v>
      </c>
      <c r="T7">
        <f ca="1">IF(COUNTIF($S$2:S6,S7)&gt;0,COUNTIF($S$2:S6,S7)+S7,S7)</f>
        <v>29</v>
      </c>
      <c r="U7" t="s">
        <v>10</v>
      </c>
    </row>
    <row r="8" spans="1:21">
      <c r="A8">
        <v>1</v>
      </c>
      <c r="B8">
        <v>9</v>
      </c>
      <c r="C8">
        <f t="shared" si="2"/>
        <v>5</v>
      </c>
      <c r="D8" s="10" t="s">
        <v>9</v>
      </c>
      <c r="E8">
        <f ca="1">IF(HLOOKUP('Inputs and Outputs'!$D$6,'Neighborhood Characteristics'!$C$3:$BJ$49,'Neighborhood Matching Prefs'!$C8+1,FALSE)&gt;0,HLOOKUP('Inputs and Outputs'!$D$6,'Neighborhood Characteristics'!$C$3:$BJ$49,'Neighborhood Matching Prefs'!$C8+1,FALSE)*E$1,IF(SUM(OFFSET('Neighborhood Characteristics'!$C$3,$A8,(HLOOKUP('Inputs and Outputs'!$D$6,'Neighborhood Characteristics'!$C$3:$BJ$51,49,FALSE)),$B8,1))&gt;0,E$1/2,0))</f>
        <v>5</v>
      </c>
      <c r="F8">
        <f ca="1">IF(HLOOKUP('Inputs and Outputs'!$D$7,'Neighborhood Characteristics'!$C$3:$BJ$49,'Neighborhood Matching Prefs'!$C8+1,FALSE)&gt;0,HLOOKUP('Inputs and Outputs'!$D$7,'Neighborhood Characteristics'!$C$3:$BJ$49,'Neighborhood Matching Prefs'!$C8+1,FALSE)*F$1,IF(SUM(OFFSET('Neighborhood Characteristics'!$C$3,$A8,(HLOOKUP('Inputs and Outputs'!$D$7,'Neighborhood Characteristics'!$C$3:$BJ$51,49,FALSE)),$B8,1))&gt;0,F$1/2,0))</f>
        <v>15</v>
      </c>
      <c r="G8">
        <f ca="1">IF(HLOOKUP('Inputs and Outputs'!$D$8,'Neighborhood Characteristics'!$C$3:$BJ$49,'Neighborhood Matching Prefs'!$C8+1,FALSE)&gt;0,HLOOKUP('Inputs and Outputs'!$D$8,'Neighborhood Characteristics'!$C$3:$BJ$49,'Neighborhood Matching Prefs'!$C8+1,FALSE)*G$1,IF(SUM(OFFSET('Neighborhood Characteristics'!$C$3,$A8,(HLOOKUP('Inputs and Outputs'!$D$8,'Neighborhood Characteristics'!$C$3:$BJ$51,49,FALSE)),$B8,1))&gt;0,G$1/2,0))</f>
        <v>5</v>
      </c>
      <c r="H8">
        <f ca="1">IF(HLOOKUP('Inputs and Outputs'!$D$9,'Neighborhood Characteristics'!$C$3:$BJ$49,'Neighborhood Matching Prefs'!$C8+1,FALSE)&gt;0,HLOOKUP('Inputs and Outputs'!$D$9,'Neighborhood Characteristics'!$C$3:$BJ$49,'Neighborhood Matching Prefs'!$C8+1,FALSE)*H$1,IF(SUM(OFFSET('Neighborhood Characteristics'!$C$3,$A8,(HLOOKUP('Inputs and Outputs'!$D$9,'Neighborhood Characteristics'!$C$3:$BJ$51,49,FALSE)),$B8,1))&gt;0,H$1/2,0))</f>
        <v>30</v>
      </c>
      <c r="I8">
        <f ca="1">IF(HLOOKUP('Inputs and Outputs'!$D$10,'Neighborhood Characteristics'!$C$3:$BJ$49,'Neighborhood Matching Prefs'!$C8+1,FALSE)&gt;0,HLOOKUP('Inputs and Outputs'!$D$10,'Neighborhood Characteristics'!$C$3:$BJ$49,'Neighborhood Matching Prefs'!$C8+1,FALSE)*I$1,IF(SUM(OFFSET('Neighborhood Characteristics'!$C$3,$A8,(HLOOKUP('Inputs and Outputs'!$D$10,'Neighborhood Characteristics'!$C$3:$BJ$51,49,FALSE)),$B8,1))&gt;0,I$1/2,0))</f>
        <v>0</v>
      </c>
      <c r="J8">
        <f ca="1">IF(HLOOKUP('Inputs and Outputs'!$D$11,'Neighborhood Characteristics'!$C$3:$BJ$49,'Neighborhood Matching Prefs'!$C8+1,FALSE)&gt;0,HLOOKUP('Inputs and Outputs'!$D$11,'Neighborhood Characteristics'!$C$3:$BJ$49,'Neighborhood Matching Prefs'!$C8+1,FALSE)*J$1,IF(SUM(OFFSET('Neighborhood Characteristics'!$C$3,$A8,(HLOOKUP('Inputs and Outputs'!$D$11,'Neighborhood Characteristics'!$C$3:$BJ$51,49,FALSE)),$B8,1))&gt;0,J$1/2,0))</f>
        <v>15</v>
      </c>
      <c r="K8">
        <f ca="1">IF(HLOOKUP('Inputs and Outputs'!$D$12,'Neighborhood Characteristics'!$C$3:$BJ$49,'Neighborhood Matching Prefs'!$C8+1,FALSE)&gt;0,HLOOKUP('Inputs and Outputs'!$D$12,'Neighborhood Characteristics'!$C$3:$BJ$49,'Neighborhood Matching Prefs'!$C8+1,FALSE)*K$1,IF(SUM(OFFSET('Neighborhood Characteristics'!$C$3,$A8,(HLOOKUP('Inputs and Outputs'!$D$12,'Neighborhood Characteristics'!$C$3:$BJ$51,49,FALSE)),$B8,1))&gt;0,K$1/2,0))</f>
        <v>5</v>
      </c>
      <c r="L8">
        <f ca="1">IF(HLOOKUP('Inputs and Outputs'!$D$13,'Neighborhood Characteristics'!$C$3:$BJ$49,'Neighborhood Matching Prefs'!$C8+1,FALSE)&gt;0,HLOOKUP('Inputs and Outputs'!$D$13,'Neighborhood Characteristics'!$C$3:$BJ$49,'Neighborhood Matching Prefs'!$C8+1,FALSE)*L$1,IF(SUM(OFFSET('Neighborhood Characteristics'!$C$3,$A8,(HLOOKUP('Inputs and Outputs'!$D$13,'Neighborhood Characteristics'!$C$3:$BJ$51,49,FALSE)),$B8,1))&gt;0,L$1/2,0))</f>
        <v>0</v>
      </c>
      <c r="M8">
        <f ca="1">IF(HLOOKUP('Inputs and Outputs'!$D$14,'Neighborhood Characteristics'!$C$3:$BJ$49,'Neighborhood Matching Prefs'!$C8+1,FALSE)&gt;0,HLOOKUP('Inputs and Outputs'!$D$14,'Neighborhood Characteristics'!$C$3:$BJ$49,'Neighborhood Matching Prefs'!$C8+1,FALSE)*M$1,IF(SUM(OFFSET('Neighborhood Characteristics'!$C$3,$A8,(HLOOKUP('Inputs and Outputs'!$D$14,'Neighborhood Characteristics'!$C$3:$BJ$51,49,FALSE)),$B8,1))&gt;0,M$1/2,0))</f>
        <v>0</v>
      </c>
      <c r="N8">
        <f ca="1">IF(HLOOKUP('Inputs and Outputs'!$D$15,'Neighborhood Characteristics'!$C$3:$BJ$49,'Neighborhood Matching Prefs'!$C8+1,FALSE)&gt;0,HLOOKUP('Inputs and Outputs'!$D$15,'Neighborhood Characteristics'!$C$3:$BJ$49,'Neighborhood Matching Prefs'!$C8+1,FALSE)*N$1,IF(SUM(OFFSET('Neighborhood Characteristics'!$C$3,$A8,(HLOOKUP('Inputs and Outputs'!$D$15,'Neighborhood Characteristics'!$C$3:$BJ$51,49,FALSE)),$B8,1))&gt;0,N$1/2,0))</f>
        <v>0</v>
      </c>
      <c r="O8">
        <f ca="1">IF(HLOOKUP('Inputs and Outputs'!$D$16,'Neighborhood Characteristics'!$C$3:$BJ$49,'Neighborhood Matching Prefs'!$C8+1,FALSE)&gt;0,HLOOKUP('Inputs and Outputs'!$D$16,'Neighborhood Characteristics'!$C$3:$BJ$49,'Neighborhood Matching Prefs'!$C8+1,FALSE)*O$1,IF(SUM(OFFSET('Neighborhood Characteristics'!$C$3,$A8,(HLOOKUP('Inputs and Outputs'!$D$16,'Neighborhood Characteristics'!$C$3:$BJ$51,49,FALSE)),$B8,1))&gt;0,O$1/2,0))</f>
        <v>5</v>
      </c>
      <c r="P8">
        <f ca="1">IF(HLOOKUP('Inputs and Outputs'!$D$17,'Neighborhood Characteristics'!$C$3:$BJ$49,'Neighborhood Matching Prefs'!$C8+1,FALSE)&gt;0,HLOOKUP('Inputs and Outputs'!$D$17,'Neighborhood Characteristics'!$C$3:$BJ$49,'Neighborhood Matching Prefs'!$C8+1,FALSE)*P$1,IF(SUM(OFFSET('Neighborhood Characteristics'!$C$3,$A8,(HLOOKUP('Inputs and Outputs'!$D$17,'Neighborhood Characteristics'!$C$3:$BJ$51,49,FALSE)),$B8,1))&gt;0,P$1/2,0))</f>
        <v>10</v>
      </c>
      <c r="Q8" s="78">
        <f>IFERROR(HLOOKUP(D8,'Commuter Model'!$C$12:$AS$61,50,FALSE),0)*$Q$1</f>
        <v>16.5</v>
      </c>
      <c r="R8">
        <f t="shared" ca="1" si="0"/>
        <v>106.5</v>
      </c>
      <c r="S8">
        <f t="shared" ca="1" si="1"/>
        <v>10</v>
      </c>
      <c r="T8">
        <f ca="1">IF(COUNTIF($S$2:S7,S8)&gt;0,COUNTIF($S$2:S7,S8)+S8,S8)</f>
        <v>10</v>
      </c>
      <c r="U8" t="s">
        <v>9</v>
      </c>
    </row>
    <row r="9" spans="1:21">
      <c r="A9">
        <v>1</v>
      </c>
      <c r="B9">
        <v>9</v>
      </c>
      <c r="C9">
        <f t="shared" si="2"/>
        <v>6</v>
      </c>
      <c r="D9" s="10" t="s">
        <v>58</v>
      </c>
      <c r="E9">
        <f ca="1">IF(HLOOKUP('Inputs and Outputs'!$D$6,'Neighborhood Characteristics'!$C$3:$BJ$49,'Neighborhood Matching Prefs'!$C9+1,FALSE)&gt;0,HLOOKUP('Inputs and Outputs'!$D$6,'Neighborhood Characteristics'!$C$3:$BJ$49,'Neighborhood Matching Prefs'!$C9+1,FALSE)*E$1,IF(SUM(OFFSET('Neighborhood Characteristics'!$C$3,$A9,(HLOOKUP('Inputs and Outputs'!$D$6,'Neighborhood Characteristics'!$C$3:$BJ$51,49,FALSE)),$B9,1))&gt;0,E$1/2,0))</f>
        <v>5</v>
      </c>
      <c r="F9">
        <f ca="1">IF(HLOOKUP('Inputs and Outputs'!$D$7,'Neighborhood Characteristics'!$C$3:$BJ$49,'Neighborhood Matching Prefs'!$C9+1,FALSE)&gt;0,HLOOKUP('Inputs and Outputs'!$D$7,'Neighborhood Characteristics'!$C$3:$BJ$49,'Neighborhood Matching Prefs'!$C9+1,FALSE)*F$1,IF(SUM(OFFSET('Neighborhood Characteristics'!$C$3,$A9,(HLOOKUP('Inputs and Outputs'!$D$7,'Neighborhood Characteristics'!$C$3:$BJ$51,49,FALSE)),$B9,1))&gt;0,F$1/2,0))</f>
        <v>7.5</v>
      </c>
      <c r="G9">
        <f ca="1">IF(HLOOKUP('Inputs and Outputs'!$D$8,'Neighborhood Characteristics'!$C$3:$BJ$49,'Neighborhood Matching Prefs'!$C9+1,FALSE)&gt;0,HLOOKUP('Inputs and Outputs'!$D$8,'Neighborhood Characteristics'!$C$3:$BJ$49,'Neighborhood Matching Prefs'!$C9+1,FALSE)*G$1,IF(SUM(OFFSET('Neighborhood Characteristics'!$C$3,$A9,(HLOOKUP('Inputs and Outputs'!$D$8,'Neighborhood Characteristics'!$C$3:$BJ$51,49,FALSE)),$B9,1))&gt;0,G$1/2,0))</f>
        <v>5</v>
      </c>
      <c r="H9">
        <f ca="1">IF(HLOOKUP('Inputs and Outputs'!$D$9,'Neighborhood Characteristics'!$C$3:$BJ$49,'Neighborhood Matching Prefs'!$C9+1,FALSE)&gt;0,HLOOKUP('Inputs and Outputs'!$D$9,'Neighborhood Characteristics'!$C$3:$BJ$49,'Neighborhood Matching Prefs'!$C9+1,FALSE)*H$1,IF(SUM(OFFSET('Neighborhood Characteristics'!$C$3,$A9,(HLOOKUP('Inputs and Outputs'!$D$9,'Neighborhood Characteristics'!$C$3:$BJ$51,49,FALSE)),$B9,1))&gt;0,H$1/2,0))</f>
        <v>15</v>
      </c>
      <c r="I9">
        <f ca="1">IF(HLOOKUP('Inputs and Outputs'!$D$10,'Neighborhood Characteristics'!$C$3:$BJ$49,'Neighborhood Matching Prefs'!$C9+1,FALSE)&gt;0,HLOOKUP('Inputs and Outputs'!$D$10,'Neighborhood Characteristics'!$C$3:$BJ$49,'Neighborhood Matching Prefs'!$C9+1,FALSE)*I$1,IF(SUM(OFFSET('Neighborhood Characteristics'!$C$3,$A9,(HLOOKUP('Inputs and Outputs'!$D$10,'Neighborhood Characteristics'!$C$3:$BJ$51,49,FALSE)),$B9,1))&gt;0,I$1/2,0))</f>
        <v>0</v>
      </c>
      <c r="J9">
        <f ca="1">IF(HLOOKUP('Inputs and Outputs'!$D$11,'Neighborhood Characteristics'!$C$3:$BJ$49,'Neighborhood Matching Prefs'!$C9+1,FALSE)&gt;0,HLOOKUP('Inputs and Outputs'!$D$11,'Neighborhood Characteristics'!$C$3:$BJ$49,'Neighborhood Matching Prefs'!$C9+1,FALSE)*J$1,IF(SUM(OFFSET('Neighborhood Characteristics'!$C$3,$A9,(HLOOKUP('Inputs and Outputs'!$D$11,'Neighborhood Characteristics'!$C$3:$BJ$51,49,FALSE)),$B9,1))&gt;0,J$1/2,0))</f>
        <v>15</v>
      </c>
      <c r="K9">
        <f ca="1">IF(HLOOKUP('Inputs and Outputs'!$D$12,'Neighborhood Characteristics'!$C$3:$BJ$49,'Neighborhood Matching Prefs'!$C9+1,FALSE)&gt;0,HLOOKUP('Inputs and Outputs'!$D$12,'Neighborhood Characteristics'!$C$3:$BJ$49,'Neighborhood Matching Prefs'!$C9+1,FALSE)*K$1,IF(SUM(OFFSET('Neighborhood Characteristics'!$C$3,$A9,(HLOOKUP('Inputs and Outputs'!$D$12,'Neighborhood Characteristics'!$C$3:$BJ$51,49,FALSE)),$B9,1))&gt;0,K$1/2,0))</f>
        <v>5</v>
      </c>
      <c r="L9">
        <f ca="1">IF(HLOOKUP('Inputs and Outputs'!$D$13,'Neighborhood Characteristics'!$C$3:$BJ$49,'Neighborhood Matching Prefs'!$C9+1,FALSE)&gt;0,HLOOKUP('Inputs and Outputs'!$D$13,'Neighborhood Characteristics'!$C$3:$BJ$49,'Neighborhood Matching Prefs'!$C9+1,FALSE)*L$1,IF(SUM(OFFSET('Neighborhood Characteristics'!$C$3,$A9,(HLOOKUP('Inputs and Outputs'!$D$13,'Neighborhood Characteristics'!$C$3:$BJ$51,49,FALSE)),$B9,1))&gt;0,L$1/2,0))</f>
        <v>0</v>
      </c>
      <c r="M9">
        <f ca="1">IF(HLOOKUP('Inputs and Outputs'!$D$14,'Neighborhood Characteristics'!$C$3:$BJ$49,'Neighborhood Matching Prefs'!$C9+1,FALSE)&gt;0,HLOOKUP('Inputs and Outputs'!$D$14,'Neighborhood Characteristics'!$C$3:$BJ$49,'Neighborhood Matching Prefs'!$C9+1,FALSE)*M$1,IF(SUM(OFFSET('Neighborhood Characteristics'!$C$3,$A9,(HLOOKUP('Inputs and Outputs'!$D$14,'Neighborhood Characteristics'!$C$3:$BJ$51,49,FALSE)),$B9,1))&gt;0,M$1/2,0))</f>
        <v>0</v>
      </c>
      <c r="N9">
        <f ca="1">IF(HLOOKUP('Inputs and Outputs'!$D$15,'Neighborhood Characteristics'!$C$3:$BJ$49,'Neighborhood Matching Prefs'!$C9+1,FALSE)&gt;0,HLOOKUP('Inputs and Outputs'!$D$15,'Neighborhood Characteristics'!$C$3:$BJ$49,'Neighborhood Matching Prefs'!$C9+1,FALSE)*N$1,IF(SUM(OFFSET('Neighborhood Characteristics'!$C$3,$A9,(HLOOKUP('Inputs and Outputs'!$D$15,'Neighborhood Characteristics'!$C$3:$BJ$51,49,FALSE)),$B9,1))&gt;0,N$1/2,0))</f>
        <v>0</v>
      </c>
      <c r="O9">
        <f ca="1">IF(HLOOKUP('Inputs and Outputs'!$D$16,'Neighborhood Characteristics'!$C$3:$BJ$49,'Neighborhood Matching Prefs'!$C9+1,FALSE)&gt;0,HLOOKUP('Inputs and Outputs'!$D$16,'Neighborhood Characteristics'!$C$3:$BJ$49,'Neighborhood Matching Prefs'!$C9+1,FALSE)*O$1,IF(SUM(OFFSET('Neighborhood Characteristics'!$C$3,$A9,(HLOOKUP('Inputs and Outputs'!$D$16,'Neighborhood Characteristics'!$C$3:$BJ$51,49,FALSE)),$B9,1))&gt;0,O$1/2,0))</f>
        <v>10</v>
      </c>
      <c r="P9">
        <f ca="1">IF(HLOOKUP('Inputs and Outputs'!$D$17,'Neighborhood Characteristics'!$C$3:$BJ$49,'Neighborhood Matching Prefs'!$C9+1,FALSE)&gt;0,HLOOKUP('Inputs and Outputs'!$D$17,'Neighborhood Characteristics'!$C$3:$BJ$49,'Neighborhood Matching Prefs'!$C9+1,FALSE)*P$1,IF(SUM(OFFSET('Neighborhood Characteristics'!$C$3,$A9,(HLOOKUP('Inputs and Outputs'!$D$17,'Neighborhood Characteristics'!$C$3:$BJ$51,49,FALSE)),$B9,1))&gt;0,P$1/2,0))</f>
        <v>10</v>
      </c>
      <c r="Q9" s="78">
        <f>IFERROR(HLOOKUP(D9,'Commuter Model'!$C$12:$AS$61,50,FALSE),0)*$Q$1</f>
        <v>16.5</v>
      </c>
      <c r="R9">
        <f t="shared" ca="1" si="0"/>
        <v>89</v>
      </c>
      <c r="S9">
        <f t="shared" ca="1" si="1"/>
        <v>22</v>
      </c>
      <c r="T9">
        <f ca="1">IF(COUNTIF($S$2:S8,S9)&gt;0,COUNTIF($S$2:S8,S9)+S9,S9)</f>
        <v>22</v>
      </c>
      <c r="U9" t="s">
        <v>58</v>
      </c>
    </row>
    <row r="10" spans="1:21">
      <c r="A10">
        <v>1</v>
      </c>
      <c r="B10">
        <v>9</v>
      </c>
      <c r="C10">
        <f t="shared" si="2"/>
        <v>7</v>
      </c>
      <c r="D10" s="10" t="s">
        <v>5</v>
      </c>
      <c r="E10">
        <f ca="1">IF(HLOOKUP('Inputs and Outputs'!$D$6,'Neighborhood Characteristics'!$C$3:$BJ$49,'Neighborhood Matching Prefs'!$C10+1,FALSE)&gt;0,HLOOKUP('Inputs and Outputs'!$D$6,'Neighborhood Characteristics'!$C$3:$BJ$49,'Neighborhood Matching Prefs'!$C10+1,FALSE)*E$1,IF(SUM(OFFSET('Neighborhood Characteristics'!$C$3,$A10,(HLOOKUP('Inputs and Outputs'!$D$6,'Neighborhood Characteristics'!$C$3:$BJ$51,49,FALSE)),$B10,1))&gt;0,E$1/2,0))</f>
        <v>5</v>
      </c>
      <c r="F10">
        <f ca="1">IF(HLOOKUP('Inputs and Outputs'!$D$7,'Neighborhood Characteristics'!$C$3:$BJ$49,'Neighborhood Matching Prefs'!$C10+1,FALSE)&gt;0,HLOOKUP('Inputs and Outputs'!$D$7,'Neighborhood Characteristics'!$C$3:$BJ$49,'Neighborhood Matching Prefs'!$C10+1,FALSE)*F$1,IF(SUM(OFFSET('Neighborhood Characteristics'!$C$3,$A10,(HLOOKUP('Inputs and Outputs'!$D$7,'Neighborhood Characteristics'!$C$3:$BJ$51,49,FALSE)),$B10,1))&gt;0,F$1/2,0))</f>
        <v>7.5</v>
      </c>
      <c r="G10">
        <f ca="1">IF(HLOOKUP('Inputs and Outputs'!$D$8,'Neighborhood Characteristics'!$C$3:$BJ$49,'Neighborhood Matching Prefs'!$C10+1,FALSE)&gt;0,HLOOKUP('Inputs and Outputs'!$D$8,'Neighborhood Characteristics'!$C$3:$BJ$49,'Neighborhood Matching Prefs'!$C10+1,FALSE)*G$1,IF(SUM(OFFSET('Neighborhood Characteristics'!$C$3,$A10,(HLOOKUP('Inputs and Outputs'!$D$8,'Neighborhood Characteristics'!$C$3:$BJ$51,49,FALSE)),$B10,1))&gt;0,G$1/2,0))</f>
        <v>5</v>
      </c>
      <c r="H10">
        <f ca="1">IF(HLOOKUP('Inputs and Outputs'!$D$9,'Neighborhood Characteristics'!$C$3:$BJ$49,'Neighborhood Matching Prefs'!$C10+1,FALSE)&gt;0,HLOOKUP('Inputs and Outputs'!$D$9,'Neighborhood Characteristics'!$C$3:$BJ$49,'Neighborhood Matching Prefs'!$C10+1,FALSE)*H$1,IF(SUM(OFFSET('Neighborhood Characteristics'!$C$3,$A10,(HLOOKUP('Inputs and Outputs'!$D$9,'Neighborhood Characteristics'!$C$3:$BJ$51,49,FALSE)),$B10,1))&gt;0,H$1/2,0))</f>
        <v>15</v>
      </c>
      <c r="I10">
        <f ca="1">IF(HLOOKUP('Inputs and Outputs'!$D$10,'Neighborhood Characteristics'!$C$3:$BJ$49,'Neighborhood Matching Prefs'!$C10+1,FALSE)&gt;0,HLOOKUP('Inputs and Outputs'!$D$10,'Neighborhood Characteristics'!$C$3:$BJ$49,'Neighborhood Matching Prefs'!$C10+1,FALSE)*I$1,IF(SUM(OFFSET('Neighborhood Characteristics'!$C$3,$A10,(HLOOKUP('Inputs and Outputs'!$D$10,'Neighborhood Characteristics'!$C$3:$BJ$51,49,FALSE)),$B10,1))&gt;0,I$1/2,0))</f>
        <v>0</v>
      </c>
      <c r="J10">
        <f ca="1">IF(HLOOKUP('Inputs and Outputs'!$D$11,'Neighborhood Characteristics'!$C$3:$BJ$49,'Neighborhood Matching Prefs'!$C10+1,FALSE)&gt;0,HLOOKUP('Inputs and Outputs'!$D$11,'Neighborhood Characteristics'!$C$3:$BJ$49,'Neighborhood Matching Prefs'!$C10+1,FALSE)*J$1,IF(SUM(OFFSET('Neighborhood Characteristics'!$C$3,$A10,(HLOOKUP('Inputs and Outputs'!$D$11,'Neighborhood Characteristics'!$C$3:$BJ$51,49,FALSE)),$B10,1))&gt;0,J$1/2,0))</f>
        <v>15</v>
      </c>
      <c r="K10">
        <f ca="1">IF(HLOOKUP('Inputs and Outputs'!$D$12,'Neighborhood Characteristics'!$C$3:$BJ$49,'Neighborhood Matching Prefs'!$C10+1,FALSE)&gt;0,HLOOKUP('Inputs and Outputs'!$D$12,'Neighborhood Characteristics'!$C$3:$BJ$49,'Neighborhood Matching Prefs'!$C10+1,FALSE)*K$1,IF(SUM(OFFSET('Neighborhood Characteristics'!$C$3,$A10,(HLOOKUP('Inputs and Outputs'!$D$12,'Neighborhood Characteristics'!$C$3:$BJ$51,49,FALSE)),$B10,1))&gt;0,K$1/2,0))</f>
        <v>5</v>
      </c>
      <c r="L10">
        <f ca="1">IF(HLOOKUP('Inputs and Outputs'!$D$13,'Neighborhood Characteristics'!$C$3:$BJ$49,'Neighborhood Matching Prefs'!$C10+1,FALSE)&gt;0,HLOOKUP('Inputs and Outputs'!$D$13,'Neighborhood Characteristics'!$C$3:$BJ$49,'Neighborhood Matching Prefs'!$C10+1,FALSE)*L$1,IF(SUM(OFFSET('Neighborhood Characteristics'!$C$3,$A10,(HLOOKUP('Inputs and Outputs'!$D$13,'Neighborhood Characteristics'!$C$3:$BJ$51,49,FALSE)),$B10,1))&gt;0,L$1/2,0))</f>
        <v>0</v>
      </c>
      <c r="M10">
        <f ca="1">IF(HLOOKUP('Inputs and Outputs'!$D$14,'Neighborhood Characteristics'!$C$3:$BJ$49,'Neighborhood Matching Prefs'!$C10+1,FALSE)&gt;0,HLOOKUP('Inputs and Outputs'!$D$14,'Neighborhood Characteristics'!$C$3:$BJ$49,'Neighborhood Matching Prefs'!$C10+1,FALSE)*M$1,IF(SUM(OFFSET('Neighborhood Characteristics'!$C$3,$A10,(HLOOKUP('Inputs and Outputs'!$D$14,'Neighborhood Characteristics'!$C$3:$BJ$51,49,FALSE)),$B10,1))&gt;0,M$1/2,0))</f>
        <v>0</v>
      </c>
      <c r="N10">
        <f ca="1">IF(HLOOKUP('Inputs and Outputs'!$D$15,'Neighborhood Characteristics'!$C$3:$BJ$49,'Neighborhood Matching Prefs'!$C10+1,FALSE)&gt;0,HLOOKUP('Inputs and Outputs'!$D$15,'Neighborhood Characteristics'!$C$3:$BJ$49,'Neighborhood Matching Prefs'!$C10+1,FALSE)*N$1,IF(SUM(OFFSET('Neighborhood Characteristics'!$C$3,$A10,(HLOOKUP('Inputs and Outputs'!$D$15,'Neighborhood Characteristics'!$C$3:$BJ$51,49,FALSE)),$B10,1))&gt;0,N$1/2,0))</f>
        <v>0</v>
      </c>
      <c r="O10">
        <f ca="1">IF(HLOOKUP('Inputs and Outputs'!$D$16,'Neighborhood Characteristics'!$C$3:$BJ$49,'Neighborhood Matching Prefs'!$C10+1,FALSE)&gt;0,HLOOKUP('Inputs and Outputs'!$D$16,'Neighborhood Characteristics'!$C$3:$BJ$49,'Neighborhood Matching Prefs'!$C10+1,FALSE)*O$1,IF(SUM(OFFSET('Neighborhood Characteristics'!$C$3,$A10,(HLOOKUP('Inputs and Outputs'!$D$16,'Neighborhood Characteristics'!$C$3:$BJ$51,49,FALSE)),$B10,1))&gt;0,O$1/2,0))</f>
        <v>10</v>
      </c>
      <c r="P10">
        <f ca="1">IF(HLOOKUP('Inputs and Outputs'!$D$17,'Neighborhood Characteristics'!$C$3:$BJ$49,'Neighborhood Matching Prefs'!$C10+1,FALSE)&gt;0,HLOOKUP('Inputs and Outputs'!$D$17,'Neighborhood Characteristics'!$C$3:$BJ$49,'Neighborhood Matching Prefs'!$C10+1,FALSE)*P$1,IF(SUM(OFFSET('Neighborhood Characteristics'!$C$3,$A10,(HLOOKUP('Inputs and Outputs'!$D$17,'Neighborhood Characteristics'!$C$3:$BJ$51,49,FALSE)),$B10,1))&gt;0,P$1/2,0))</f>
        <v>10</v>
      </c>
      <c r="Q10" s="78">
        <f>IFERROR(HLOOKUP(D10,'Commuter Model'!$C$12:$AS$61,50,FALSE),0)*$Q$1</f>
        <v>20</v>
      </c>
      <c r="R10">
        <f t="shared" ca="1" si="0"/>
        <v>92.5</v>
      </c>
      <c r="S10">
        <f t="shared" ca="1" si="1"/>
        <v>15</v>
      </c>
      <c r="T10">
        <f ca="1">IF(COUNTIF($S$2:S9,S10)&gt;0,COUNTIF($S$2:S9,S10)+S10,S10)</f>
        <v>15</v>
      </c>
      <c r="U10" t="s">
        <v>5</v>
      </c>
    </row>
    <row r="11" spans="1:21">
      <c r="A11">
        <v>1</v>
      </c>
      <c r="B11">
        <v>9</v>
      </c>
      <c r="C11">
        <f t="shared" si="2"/>
        <v>8</v>
      </c>
      <c r="D11" s="10" t="s">
        <v>3</v>
      </c>
      <c r="E11">
        <f ca="1">IF(HLOOKUP('Inputs and Outputs'!$D$6,'Neighborhood Characteristics'!$C$3:$BJ$49,'Neighborhood Matching Prefs'!$C11+1,FALSE)&gt;0,HLOOKUP('Inputs and Outputs'!$D$6,'Neighborhood Characteristics'!$C$3:$BJ$49,'Neighborhood Matching Prefs'!$C11+1,FALSE)*E$1,IF(SUM(OFFSET('Neighborhood Characteristics'!$C$3,$A11,(HLOOKUP('Inputs and Outputs'!$D$6,'Neighborhood Characteristics'!$C$3:$BJ$51,49,FALSE)),$B11,1))&gt;0,E$1/2,0))</f>
        <v>5</v>
      </c>
      <c r="F11">
        <f ca="1">IF(HLOOKUP('Inputs and Outputs'!$D$7,'Neighborhood Characteristics'!$C$3:$BJ$49,'Neighborhood Matching Prefs'!$C11+1,FALSE)&gt;0,HLOOKUP('Inputs and Outputs'!$D$7,'Neighborhood Characteristics'!$C$3:$BJ$49,'Neighborhood Matching Prefs'!$C11+1,FALSE)*F$1,IF(SUM(OFFSET('Neighborhood Characteristics'!$C$3,$A11,(HLOOKUP('Inputs and Outputs'!$D$7,'Neighborhood Characteristics'!$C$3:$BJ$51,49,FALSE)),$B11,1))&gt;0,F$1/2,0))</f>
        <v>7.5</v>
      </c>
      <c r="G11">
        <f ca="1">IF(HLOOKUP('Inputs and Outputs'!$D$8,'Neighborhood Characteristics'!$C$3:$BJ$49,'Neighborhood Matching Prefs'!$C11+1,FALSE)&gt;0,HLOOKUP('Inputs and Outputs'!$D$8,'Neighborhood Characteristics'!$C$3:$BJ$49,'Neighborhood Matching Prefs'!$C11+1,FALSE)*G$1,IF(SUM(OFFSET('Neighborhood Characteristics'!$C$3,$A11,(HLOOKUP('Inputs and Outputs'!$D$8,'Neighborhood Characteristics'!$C$3:$BJ$51,49,FALSE)),$B11,1))&gt;0,G$1/2,0))</f>
        <v>20</v>
      </c>
      <c r="H11">
        <f ca="1">IF(HLOOKUP('Inputs and Outputs'!$D$9,'Neighborhood Characteristics'!$C$3:$BJ$49,'Neighborhood Matching Prefs'!$C11+1,FALSE)&gt;0,HLOOKUP('Inputs and Outputs'!$D$9,'Neighborhood Characteristics'!$C$3:$BJ$49,'Neighborhood Matching Prefs'!$C11+1,FALSE)*H$1,IF(SUM(OFFSET('Neighborhood Characteristics'!$C$3,$A11,(HLOOKUP('Inputs and Outputs'!$D$9,'Neighborhood Characteristics'!$C$3:$BJ$51,49,FALSE)),$B11,1))&gt;0,H$1/2,0))</f>
        <v>30</v>
      </c>
      <c r="I11">
        <f ca="1">IF(HLOOKUP('Inputs and Outputs'!$D$10,'Neighborhood Characteristics'!$C$3:$BJ$49,'Neighborhood Matching Prefs'!$C11+1,FALSE)&gt;0,HLOOKUP('Inputs and Outputs'!$D$10,'Neighborhood Characteristics'!$C$3:$BJ$49,'Neighborhood Matching Prefs'!$C11+1,FALSE)*I$1,IF(SUM(OFFSET('Neighborhood Characteristics'!$C$3,$A11,(HLOOKUP('Inputs and Outputs'!$D$10,'Neighborhood Characteristics'!$C$3:$BJ$51,49,FALSE)),$B11,1))&gt;0,I$1/2,0))</f>
        <v>0</v>
      </c>
      <c r="J11">
        <f ca="1">IF(HLOOKUP('Inputs and Outputs'!$D$11,'Neighborhood Characteristics'!$C$3:$BJ$49,'Neighborhood Matching Prefs'!$C11+1,FALSE)&gt;0,HLOOKUP('Inputs and Outputs'!$D$11,'Neighborhood Characteristics'!$C$3:$BJ$49,'Neighborhood Matching Prefs'!$C11+1,FALSE)*J$1,IF(SUM(OFFSET('Neighborhood Characteristics'!$C$3,$A11,(HLOOKUP('Inputs and Outputs'!$D$11,'Neighborhood Characteristics'!$C$3:$BJ$51,49,FALSE)),$B11,1))&gt;0,J$1/2,0))</f>
        <v>15</v>
      </c>
      <c r="K11">
        <f ca="1">IF(HLOOKUP('Inputs and Outputs'!$D$12,'Neighborhood Characteristics'!$C$3:$BJ$49,'Neighborhood Matching Prefs'!$C11+1,FALSE)&gt;0,HLOOKUP('Inputs and Outputs'!$D$12,'Neighborhood Characteristics'!$C$3:$BJ$49,'Neighborhood Matching Prefs'!$C11+1,FALSE)*K$1,IF(SUM(OFFSET('Neighborhood Characteristics'!$C$3,$A11,(HLOOKUP('Inputs and Outputs'!$D$12,'Neighborhood Characteristics'!$C$3:$BJ$51,49,FALSE)),$B11,1))&gt;0,K$1/2,0))</f>
        <v>10</v>
      </c>
      <c r="L11">
        <f ca="1">IF(HLOOKUP('Inputs and Outputs'!$D$13,'Neighborhood Characteristics'!$C$3:$BJ$49,'Neighborhood Matching Prefs'!$C11+1,FALSE)&gt;0,HLOOKUP('Inputs and Outputs'!$D$13,'Neighborhood Characteristics'!$C$3:$BJ$49,'Neighborhood Matching Prefs'!$C11+1,FALSE)*L$1,IF(SUM(OFFSET('Neighborhood Characteristics'!$C$3,$A11,(HLOOKUP('Inputs and Outputs'!$D$13,'Neighborhood Characteristics'!$C$3:$BJ$51,49,FALSE)),$B11,1))&gt;0,L$1/2,0))</f>
        <v>0</v>
      </c>
      <c r="M11">
        <f ca="1">IF(HLOOKUP('Inputs and Outputs'!$D$14,'Neighborhood Characteristics'!$C$3:$BJ$49,'Neighborhood Matching Prefs'!$C11+1,FALSE)&gt;0,HLOOKUP('Inputs and Outputs'!$D$14,'Neighborhood Characteristics'!$C$3:$BJ$49,'Neighborhood Matching Prefs'!$C11+1,FALSE)*M$1,IF(SUM(OFFSET('Neighborhood Characteristics'!$C$3,$A11,(HLOOKUP('Inputs and Outputs'!$D$14,'Neighborhood Characteristics'!$C$3:$BJ$51,49,FALSE)),$B11,1))&gt;0,M$1/2,0))</f>
        <v>0</v>
      </c>
      <c r="N11">
        <f ca="1">IF(HLOOKUP('Inputs and Outputs'!$D$15,'Neighborhood Characteristics'!$C$3:$BJ$49,'Neighborhood Matching Prefs'!$C11+1,FALSE)&gt;0,HLOOKUP('Inputs and Outputs'!$D$15,'Neighborhood Characteristics'!$C$3:$BJ$49,'Neighborhood Matching Prefs'!$C11+1,FALSE)*N$1,IF(SUM(OFFSET('Neighborhood Characteristics'!$C$3,$A11,(HLOOKUP('Inputs and Outputs'!$D$15,'Neighborhood Characteristics'!$C$3:$BJ$51,49,FALSE)),$B11,1))&gt;0,N$1/2,0))</f>
        <v>0</v>
      </c>
      <c r="O11">
        <f ca="1">IF(HLOOKUP('Inputs and Outputs'!$D$16,'Neighborhood Characteristics'!$C$3:$BJ$49,'Neighborhood Matching Prefs'!$C11+1,FALSE)&gt;0,HLOOKUP('Inputs and Outputs'!$D$16,'Neighborhood Characteristics'!$C$3:$BJ$49,'Neighborhood Matching Prefs'!$C11+1,FALSE)*O$1,IF(SUM(OFFSET('Neighborhood Characteristics'!$C$3,$A11,(HLOOKUP('Inputs and Outputs'!$D$16,'Neighborhood Characteristics'!$C$3:$BJ$51,49,FALSE)),$B11,1))&gt;0,O$1/2,0))</f>
        <v>10</v>
      </c>
      <c r="P11">
        <f ca="1">IF(HLOOKUP('Inputs and Outputs'!$D$17,'Neighborhood Characteristics'!$C$3:$BJ$49,'Neighborhood Matching Prefs'!$C11+1,FALSE)&gt;0,HLOOKUP('Inputs and Outputs'!$D$17,'Neighborhood Characteristics'!$C$3:$BJ$49,'Neighborhood Matching Prefs'!$C11+1,FALSE)*P$1,IF(SUM(OFFSET('Neighborhood Characteristics'!$C$3,$A11,(HLOOKUP('Inputs and Outputs'!$D$17,'Neighborhood Characteristics'!$C$3:$BJ$51,49,FALSE)),$B11,1))&gt;0,P$1/2,0))</f>
        <v>10</v>
      </c>
      <c r="Q11" s="78">
        <f>IFERROR(HLOOKUP(D11,'Commuter Model'!$C$12:$AS$61,50,FALSE),0)*$Q$1</f>
        <v>14.999999999999998</v>
      </c>
      <c r="R11">
        <f t="shared" ca="1" si="0"/>
        <v>122.5</v>
      </c>
      <c r="S11">
        <f t="shared" ca="1" si="1"/>
        <v>3</v>
      </c>
      <c r="T11">
        <f ca="1">IF(COUNTIF($S$2:S10,S11)&gt;0,COUNTIF($S$2:S10,S11)+S11,S11)</f>
        <v>3</v>
      </c>
      <c r="U11" t="s">
        <v>3</v>
      </c>
    </row>
    <row r="12" spans="1:21">
      <c r="A12">
        <v>1</v>
      </c>
      <c r="B12">
        <v>9</v>
      </c>
      <c r="C12">
        <f t="shared" si="2"/>
        <v>9</v>
      </c>
      <c r="D12" s="10" t="s">
        <v>4</v>
      </c>
      <c r="E12">
        <f ca="1">IF(HLOOKUP('Inputs and Outputs'!$D$6,'Neighborhood Characteristics'!$C$3:$BJ$49,'Neighborhood Matching Prefs'!$C12+1,FALSE)&gt;0,HLOOKUP('Inputs and Outputs'!$D$6,'Neighborhood Characteristics'!$C$3:$BJ$49,'Neighborhood Matching Prefs'!$C12+1,FALSE)*E$1,IF(SUM(OFFSET('Neighborhood Characteristics'!$C$3,$A12,(HLOOKUP('Inputs and Outputs'!$D$6,'Neighborhood Characteristics'!$C$3:$BJ$51,49,FALSE)),$B12,1))&gt;0,E$1/2,0))</f>
        <v>5</v>
      </c>
      <c r="F12">
        <f ca="1">IF(HLOOKUP('Inputs and Outputs'!$D$7,'Neighborhood Characteristics'!$C$3:$BJ$49,'Neighborhood Matching Prefs'!$C12+1,FALSE)&gt;0,HLOOKUP('Inputs and Outputs'!$D$7,'Neighborhood Characteristics'!$C$3:$BJ$49,'Neighborhood Matching Prefs'!$C12+1,FALSE)*F$1,IF(SUM(OFFSET('Neighborhood Characteristics'!$C$3,$A12,(HLOOKUP('Inputs and Outputs'!$D$7,'Neighborhood Characteristics'!$C$3:$BJ$51,49,FALSE)),$B12,1))&gt;0,F$1/2,0))</f>
        <v>15</v>
      </c>
      <c r="G12">
        <f ca="1">IF(HLOOKUP('Inputs and Outputs'!$D$8,'Neighborhood Characteristics'!$C$3:$BJ$49,'Neighborhood Matching Prefs'!$C12+1,FALSE)&gt;0,HLOOKUP('Inputs and Outputs'!$D$8,'Neighborhood Characteristics'!$C$3:$BJ$49,'Neighborhood Matching Prefs'!$C12+1,FALSE)*G$1,IF(SUM(OFFSET('Neighborhood Characteristics'!$C$3,$A12,(HLOOKUP('Inputs and Outputs'!$D$8,'Neighborhood Characteristics'!$C$3:$BJ$51,49,FALSE)),$B12,1))&gt;0,G$1/2,0))</f>
        <v>10</v>
      </c>
      <c r="H12">
        <f ca="1">IF(HLOOKUP('Inputs and Outputs'!$D$9,'Neighborhood Characteristics'!$C$3:$BJ$49,'Neighborhood Matching Prefs'!$C12+1,FALSE)&gt;0,HLOOKUP('Inputs and Outputs'!$D$9,'Neighborhood Characteristics'!$C$3:$BJ$49,'Neighborhood Matching Prefs'!$C12+1,FALSE)*H$1,IF(SUM(OFFSET('Neighborhood Characteristics'!$C$3,$A12,(HLOOKUP('Inputs and Outputs'!$D$9,'Neighborhood Characteristics'!$C$3:$BJ$51,49,FALSE)),$B12,1))&gt;0,H$1/2,0))</f>
        <v>30</v>
      </c>
      <c r="I12">
        <f ca="1">IF(HLOOKUP('Inputs and Outputs'!$D$10,'Neighborhood Characteristics'!$C$3:$BJ$49,'Neighborhood Matching Prefs'!$C12+1,FALSE)&gt;0,HLOOKUP('Inputs and Outputs'!$D$10,'Neighborhood Characteristics'!$C$3:$BJ$49,'Neighborhood Matching Prefs'!$C12+1,FALSE)*I$1,IF(SUM(OFFSET('Neighborhood Characteristics'!$C$3,$A12,(HLOOKUP('Inputs and Outputs'!$D$10,'Neighborhood Characteristics'!$C$3:$BJ$51,49,FALSE)),$B12,1))&gt;0,I$1/2,0))</f>
        <v>0</v>
      </c>
      <c r="J12">
        <f ca="1">IF(HLOOKUP('Inputs and Outputs'!$D$11,'Neighborhood Characteristics'!$C$3:$BJ$49,'Neighborhood Matching Prefs'!$C12+1,FALSE)&gt;0,HLOOKUP('Inputs and Outputs'!$D$11,'Neighborhood Characteristics'!$C$3:$BJ$49,'Neighborhood Matching Prefs'!$C12+1,FALSE)*J$1,IF(SUM(OFFSET('Neighborhood Characteristics'!$C$3,$A12,(HLOOKUP('Inputs and Outputs'!$D$11,'Neighborhood Characteristics'!$C$3:$BJ$51,49,FALSE)),$B12,1))&gt;0,J$1/2,0))</f>
        <v>7.5</v>
      </c>
      <c r="K12">
        <f ca="1">IF(HLOOKUP('Inputs and Outputs'!$D$12,'Neighborhood Characteristics'!$C$3:$BJ$49,'Neighborhood Matching Prefs'!$C12+1,FALSE)&gt;0,HLOOKUP('Inputs and Outputs'!$D$12,'Neighborhood Characteristics'!$C$3:$BJ$49,'Neighborhood Matching Prefs'!$C12+1,FALSE)*K$1,IF(SUM(OFFSET('Neighborhood Characteristics'!$C$3,$A12,(HLOOKUP('Inputs and Outputs'!$D$12,'Neighborhood Characteristics'!$C$3:$BJ$51,49,FALSE)),$B12,1))&gt;0,K$1/2,0))</f>
        <v>5</v>
      </c>
      <c r="L12">
        <f ca="1">IF(HLOOKUP('Inputs and Outputs'!$D$13,'Neighborhood Characteristics'!$C$3:$BJ$49,'Neighborhood Matching Prefs'!$C12+1,FALSE)&gt;0,HLOOKUP('Inputs and Outputs'!$D$13,'Neighborhood Characteristics'!$C$3:$BJ$49,'Neighborhood Matching Prefs'!$C12+1,FALSE)*L$1,IF(SUM(OFFSET('Neighborhood Characteristics'!$C$3,$A12,(HLOOKUP('Inputs and Outputs'!$D$13,'Neighborhood Characteristics'!$C$3:$BJ$51,49,FALSE)),$B12,1))&gt;0,L$1/2,0))</f>
        <v>0</v>
      </c>
      <c r="M12">
        <f ca="1">IF(HLOOKUP('Inputs and Outputs'!$D$14,'Neighborhood Characteristics'!$C$3:$BJ$49,'Neighborhood Matching Prefs'!$C12+1,FALSE)&gt;0,HLOOKUP('Inputs and Outputs'!$D$14,'Neighborhood Characteristics'!$C$3:$BJ$49,'Neighborhood Matching Prefs'!$C12+1,FALSE)*M$1,IF(SUM(OFFSET('Neighborhood Characteristics'!$C$3,$A12,(HLOOKUP('Inputs and Outputs'!$D$14,'Neighborhood Characteristics'!$C$3:$BJ$51,49,FALSE)),$B12,1))&gt;0,M$1/2,0))</f>
        <v>0</v>
      </c>
      <c r="N12">
        <f ca="1">IF(HLOOKUP('Inputs and Outputs'!$D$15,'Neighborhood Characteristics'!$C$3:$BJ$49,'Neighborhood Matching Prefs'!$C12+1,FALSE)&gt;0,HLOOKUP('Inputs and Outputs'!$D$15,'Neighborhood Characteristics'!$C$3:$BJ$49,'Neighborhood Matching Prefs'!$C12+1,FALSE)*N$1,IF(SUM(OFFSET('Neighborhood Characteristics'!$C$3,$A12,(HLOOKUP('Inputs and Outputs'!$D$15,'Neighborhood Characteristics'!$C$3:$BJ$51,49,FALSE)),$B12,1))&gt;0,N$1/2,0))</f>
        <v>0</v>
      </c>
      <c r="O12">
        <f ca="1">IF(HLOOKUP('Inputs and Outputs'!$D$16,'Neighborhood Characteristics'!$C$3:$BJ$49,'Neighborhood Matching Prefs'!$C12+1,FALSE)&gt;0,HLOOKUP('Inputs and Outputs'!$D$16,'Neighborhood Characteristics'!$C$3:$BJ$49,'Neighborhood Matching Prefs'!$C12+1,FALSE)*O$1,IF(SUM(OFFSET('Neighborhood Characteristics'!$C$3,$A12,(HLOOKUP('Inputs and Outputs'!$D$16,'Neighborhood Characteristics'!$C$3:$BJ$51,49,FALSE)),$B12,1))&gt;0,O$1/2,0))</f>
        <v>10</v>
      </c>
      <c r="P12">
        <f ca="1">IF(HLOOKUP('Inputs and Outputs'!$D$17,'Neighborhood Characteristics'!$C$3:$BJ$49,'Neighborhood Matching Prefs'!$C12+1,FALSE)&gt;0,HLOOKUP('Inputs and Outputs'!$D$17,'Neighborhood Characteristics'!$C$3:$BJ$49,'Neighborhood Matching Prefs'!$C12+1,FALSE)*P$1,IF(SUM(OFFSET('Neighborhood Characteristics'!$C$3,$A12,(HLOOKUP('Inputs and Outputs'!$D$17,'Neighborhood Characteristics'!$C$3:$BJ$51,49,FALSE)),$B12,1))&gt;0,P$1/2,0))</f>
        <v>10</v>
      </c>
      <c r="Q12" s="78">
        <f>IFERROR(HLOOKUP(D12,'Commuter Model'!$C$12:$AS$61,50,FALSE),0)*$Q$1</f>
        <v>14.999999999999998</v>
      </c>
      <c r="R12">
        <f t="shared" ca="1" si="0"/>
        <v>107.5</v>
      </c>
      <c r="S12">
        <f t="shared" ca="1" si="1"/>
        <v>9</v>
      </c>
      <c r="T12">
        <f ca="1">IF(COUNTIF($S$2:S11,S12)&gt;0,COUNTIF($S$2:S11,S12)+S12,S12)</f>
        <v>9</v>
      </c>
      <c r="U12" t="s">
        <v>4</v>
      </c>
    </row>
    <row r="13" spans="1:21">
      <c r="A13">
        <v>10</v>
      </c>
      <c r="B13">
        <v>6</v>
      </c>
      <c r="C13">
        <f t="shared" si="2"/>
        <v>10</v>
      </c>
      <c r="D13" s="17" t="s">
        <v>53</v>
      </c>
      <c r="E13">
        <f ca="1">IF(HLOOKUP('Inputs and Outputs'!$D$6,'Neighborhood Characteristics'!$C$3:$BJ$49,'Neighborhood Matching Prefs'!$C13+1,FALSE)&gt;0,HLOOKUP('Inputs and Outputs'!$D$6,'Neighborhood Characteristics'!$C$3:$BJ$49,'Neighborhood Matching Prefs'!$C13+1,FALSE)*E$1,IF(SUM(OFFSET('Neighborhood Characteristics'!$C$3,$A13,(HLOOKUP('Inputs and Outputs'!$D$6,'Neighborhood Characteristics'!$C$3:$BJ$51,49,FALSE)),$B13,1))&gt;0,E$1/2,0))</f>
        <v>5</v>
      </c>
      <c r="F13">
        <f ca="1">IF(HLOOKUP('Inputs and Outputs'!$D$7,'Neighborhood Characteristics'!$C$3:$BJ$49,'Neighborhood Matching Prefs'!$C13+1,FALSE)&gt;0,HLOOKUP('Inputs and Outputs'!$D$7,'Neighborhood Characteristics'!$C$3:$BJ$49,'Neighborhood Matching Prefs'!$C13+1,FALSE)*F$1,IF(SUM(OFFSET('Neighborhood Characteristics'!$C$3,$A13,(HLOOKUP('Inputs and Outputs'!$D$7,'Neighborhood Characteristics'!$C$3:$BJ$51,49,FALSE)),$B13,1))&gt;0,F$1/2,0))</f>
        <v>15</v>
      </c>
      <c r="G13">
        <f ca="1">IF(HLOOKUP('Inputs and Outputs'!$D$8,'Neighborhood Characteristics'!$C$3:$BJ$49,'Neighborhood Matching Prefs'!$C13+1,FALSE)&gt;0,HLOOKUP('Inputs and Outputs'!$D$8,'Neighborhood Characteristics'!$C$3:$BJ$49,'Neighborhood Matching Prefs'!$C13+1,FALSE)*G$1,IF(SUM(OFFSET('Neighborhood Characteristics'!$C$3,$A13,(HLOOKUP('Inputs and Outputs'!$D$8,'Neighborhood Characteristics'!$C$3:$BJ$51,49,FALSE)),$B13,1))&gt;0,G$1/2,0))</f>
        <v>10</v>
      </c>
      <c r="H13">
        <f ca="1">IF(HLOOKUP('Inputs and Outputs'!$D$9,'Neighborhood Characteristics'!$C$3:$BJ$49,'Neighborhood Matching Prefs'!$C13+1,FALSE)&gt;0,HLOOKUP('Inputs and Outputs'!$D$9,'Neighborhood Characteristics'!$C$3:$BJ$49,'Neighborhood Matching Prefs'!$C13+1,FALSE)*H$1,IF(SUM(OFFSET('Neighborhood Characteristics'!$C$3,$A13,(HLOOKUP('Inputs and Outputs'!$D$9,'Neighborhood Characteristics'!$C$3:$BJ$51,49,FALSE)),$B13,1))&gt;0,H$1/2,0))</f>
        <v>15</v>
      </c>
      <c r="I13">
        <f ca="1">IF(HLOOKUP('Inputs and Outputs'!$D$10,'Neighborhood Characteristics'!$C$3:$BJ$49,'Neighborhood Matching Prefs'!$C13+1,FALSE)&gt;0,HLOOKUP('Inputs and Outputs'!$D$10,'Neighborhood Characteristics'!$C$3:$BJ$49,'Neighborhood Matching Prefs'!$C13+1,FALSE)*I$1,IF(SUM(OFFSET('Neighborhood Characteristics'!$C$3,$A13,(HLOOKUP('Inputs and Outputs'!$D$10,'Neighborhood Characteristics'!$C$3:$BJ$51,49,FALSE)),$B13,1))&gt;0,I$1/2,0))</f>
        <v>0</v>
      </c>
      <c r="J13">
        <f ca="1">IF(HLOOKUP('Inputs and Outputs'!$D$11,'Neighborhood Characteristics'!$C$3:$BJ$49,'Neighborhood Matching Prefs'!$C13+1,FALSE)&gt;0,HLOOKUP('Inputs and Outputs'!$D$11,'Neighborhood Characteristics'!$C$3:$BJ$49,'Neighborhood Matching Prefs'!$C13+1,FALSE)*J$1,IF(SUM(OFFSET('Neighborhood Characteristics'!$C$3,$A13,(HLOOKUP('Inputs and Outputs'!$D$11,'Neighborhood Characteristics'!$C$3:$BJ$51,49,FALSE)),$B13,1))&gt;0,J$1/2,0))</f>
        <v>7.5</v>
      </c>
      <c r="K13">
        <f ca="1">IF(HLOOKUP('Inputs and Outputs'!$D$12,'Neighborhood Characteristics'!$C$3:$BJ$49,'Neighborhood Matching Prefs'!$C13+1,FALSE)&gt;0,HLOOKUP('Inputs and Outputs'!$D$12,'Neighborhood Characteristics'!$C$3:$BJ$49,'Neighborhood Matching Prefs'!$C13+1,FALSE)*K$1,IF(SUM(OFFSET('Neighborhood Characteristics'!$C$3,$A13,(HLOOKUP('Inputs and Outputs'!$D$12,'Neighborhood Characteristics'!$C$3:$BJ$51,49,FALSE)),$B13,1))&gt;0,K$1/2,0))</f>
        <v>5</v>
      </c>
      <c r="L13">
        <f ca="1">IF(HLOOKUP('Inputs and Outputs'!$D$13,'Neighborhood Characteristics'!$C$3:$BJ$49,'Neighborhood Matching Prefs'!$C13+1,FALSE)&gt;0,HLOOKUP('Inputs and Outputs'!$D$13,'Neighborhood Characteristics'!$C$3:$BJ$49,'Neighborhood Matching Prefs'!$C13+1,FALSE)*L$1,IF(SUM(OFFSET('Neighborhood Characteristics'!$C$3,$A13,(HLOOKUP('Inputs and Outputs'!$D$13,'Neighborhood Characteristics'!$C$3:$BJ$51,49,FALSE)),$B13,1))&gt;0,L$1/2,0))</f>
        <v>0</v>
      </c>
      <c r="M13">
        <f ca="1">IF(HLOOKUP('Inputs and Outputs'!$D$14,'Neighborhood Characteristics'!$C$3:$BJ$49,'Neighborhood Matching Prefs'!$C13+1,FALSE)&gt;0,HLOOKUP('Inputs and Outputs'!$D$14,'Neighborhood Characteristics'!$C$3:$BJ$49,'Neighborhood Matching Prefs'!$C13+1,FALSE)*M$1,IF(SUM(OFFSET('Neighborhood Characteristics'!$C$3,$A13,(HLOOKUP('Inputs and Outputs'!$D$14,'Neighborhood Characteristics'!$C$3:$BJ$51,49,FALSE)),$B13,1))&gt;0,M$1/2,0))</f>
        <v>0</v>
      </c>
      <c r="N13">
        <f ca="1">IF(HLOOKUP('Inputs and Outputs'!$D$15,'Neighborhood Characteristics'!$C$3:$BJ$49,'Neighborhood Matching Prefs'!$C13+1,FALSE)&gt;0,HLOOKUP('Inputs and Outputs'!$D$15,'Neighborhood Characteristics'!$C$3:$BJ$49,'Neighborhood Matching Prefs'!$C13+1,FALSE)*N$1,IF(SUM(OFFSET('Neighborhood Characteristics'!$C$3,$A13,(HLOOKUP('Inputs and Outputs'!$D$15,'Neighborhood Characteristics'!$C$3:$BJ$51,49,FALSE)),$B13,1))&gt;0,N$1/2,0))</f>
        <v>0</v>
      </c>
      <c r="O13">
        <f ca="1">IF(HLOOKUP('Inputs and Outputs'!$D$16,'Neighborhood Characteristics'!$C$3:$BJ$49,'Neighborhood Matching Prefs'!$C13+1,FALSE)&gt;0,HLOOKUP('Inputs and Outputs'!$D$16,'Neighborhood Characteristics'!$C$3:$BJ$49,'Neighborhood Matching Prefs'!$C13+1,FALSE)*O$1,IF(SUM(OFFSET('Neighborhood Characteristics'!$C$3,$A13,(HLOOKUP('Inputs and Outputs'!$D$16,'Neighborhood Characteristics'!$C$3:$BJ$51,49,FALSE)),$B13,1))&gt;0,O$1/2,0))</f>
        <v>10</v>
      </c>
      <c r="P13">
        <f ca="1">IF(HLOOKUP('Inputs and Outputs'!$D$17,'Neighborhood Characteristics'!$C$3:$BJ$49,'Neighborhood Matching Prefs'!$C13+1,FALSE)&gt;0,HLOOKUP('Inputs and Outputs'!$D$17,'Neighborhood Characteristics'!$C$3:$BJ$49,'Neighborhood Matching Prefs'!$C13+1,FALSE)*P$1,IF(SUM(OFFSET('Neighborhood Characteristics'!$C$3,$A13,(HLOOKUP('Inputs and Outputs'!$D$17,'Neighborhood Characteristics'!$C$3:$BJ$51,49,FALSE)),$B13,1))&gt;0,P$1/2,0))</f>
        <v>10</v>
      </c>
      <c r="Q13" s="78">
        <f>IFERROR(HLOOKUP(D13,'Commuter Model'!$C$12:$AS$61,50,FALSE),0)*$Q$1</f>
        <v>11.5</v>
      </c>
      <c r="R13">
        <f t="shared" ca="1" si="0"/>
        <v>89</v>
      </c>
      <c r="S13">
        <f t="shared" ca="1" si="1"/>
        <v>22</v>
      </c>
      <c r="T13">
        <f ca="1">IF(COUNTIF($S$2:S12,S13)&gt;0,COUNTIF($S$2:S12,S13)+S13,S13)</f>
        <v>23</v>
      </c>
      <c r="U13" t="s">
        <v>53</v>
      </c>
    </row>
    <row r="14" spans="1:21">
      <c r="A14">
        <v>10</v>
      </c>
      <c r="B14">
        <v>6</v>
      </c>
      <c r="C14">
        <f t="shared" si="2"/>
        <v>11</v>
      </c>
      <c r="D14" s="17" t="s">
        <v>12</v>
      </c>
      <c r="E14">
        <f ca="1">IF(HLOOKUP('Inputs and Outputs'!$D$6,'Neighborhood Characteristics'!$C$3:$BJ$49,'Neighborhood Matching Prefs'!$C14+1,FALSE)&gt;0,HLOOKUP('Inputs and Outputs'!$D$6,'Neighborhood Characteristics'!$C$3:$BJ$49,'Neighborhood Matching Prefs'!$C14+1,FALSE)*E$1,IF(SUM(OFFSET('Neighborhood Characteristics'!$C$3,$A14,(HLOOKUP('Inputs and Outputs'!$D$6,'Neighborhood Characteristics'!$C$3:$BJ$51,49,FALSE)),$B14,1))&gt;0,E$1/2,0))</f>
        <v>5</v>
      </c>
      <c r="F14">
        <f ca="1">IF(HLOOKUP('Inputs and Outputs'!$D$7,'Neighborhood Characteristics'!$C$3:$BJ$49,'Neighborhood Matching Prefs'!$C14+1,FALSE)&gt;0,HLOOKUP('Inputs and Outputs'!$D$7,'Neighborhood Characteristics'!$C$3:$BJ$49,'Neighborhood Matching Prefs'!$C14+1,FALSE)*F$1,IF(SUM(OFFSET('Neighborhood Characteristics'!$C$3,$A14,(HLOOKUP('Inputs and Outputs'!$D$7,'Neighborhood Characteristics'!$C$3:$BJ$51,49,FALSE)),$B14,1))&gt;0,F$1/2,0))</f>
        <v>7.5</v>
      </c>
      <c r="G14">
        <f ca="1">IF(HLOOKUP('Inputs and Outputs'!$D$8,'Neighborhood Characteristics'!$C$3:$BJ$49,'Neighborhood Matching Prefs'!$C14+1,FALSE)&gt;0,HLOOKUP('Inputs and Outputs'!$D$8,'Neighborhood Characteristics'!$C$3:$BJ$49,'Neighborhood Matching Prefs'!$C14+1,FALSE)*G$1,IF(SUM(OFFSET('Neighborhood Characteristics'!$C$3,$A14,(HLOOKUP('Inputs and Outputs'!$D$8,'Neighborhood Characteristics'!$C$3:$BJ$51,49,FALSE)),$B14,1))&gt;0,G$1/2,0))</f>
        <v>5</v>
      </c>
      <c r="H14">
        <f ca="1">IF(HLOOKUP('Inputs and Outputs'!$D$9,'Neighborhood Characteristics'!$C$3:$BJ$49,'Neighborhood Matching Prefs'!$C14+1,FALSE)&gt;0,HLOOKUP('Inputs and Outputs'!$D$9,'Neighborhood Characteristics'!$C$3:$BJ$49,'Neighborhood Matching Prefs'!$C14+1,FALSE)*H$1,IF(SUM(OFFSET('Neighborhood Characteristics'!$C$3,$A14,(HLOOKUP('Inputs and Outputs'!$D$9,'Neighborhood Characteristics'!$C$3:$BJ$51,49,FALSE)),$B14,1))&gt;0,H$1/2,0))</f>
        <v>15</v>
      </c>
      <c r="I14">
        <f ca="1">IF(HLOOKUP('Inputs and Outputs'!$D$10,'Neighborhood Characteristics'!$C$3:$BJ$49,'Neighborhood Matching Prefs'!$C14+1,FALSE)&gt;0,HLOOKUP('Inputs and Outputs'!$D$10,'Neighborhood Characteristics'!$C$3:$BJ$49,'Neighborhood Matching Prefs'!$C14+1,FALSE)*I$1,IF(SUM(OFFSET('Neighborhood Characteristics'!$C$3,$A14,(HLOOKUP('Inputs and Outputs'!$D$10,'Neighborhood Characteristics'!$C$3:$BJ$51,49,FALSE)),$B14,1))&gt;0,I$1/2,0))</f>
        <v>0</v>
      </c>
      <c r="J14">
        <f ca="1">IF(HLOOKUP('Inputs and Outputs'!$D$11,'Neighborhood Characteristics'!$C$3:$BJ$49,'Neighborhood Matching Prefs'!$C14+1,FALSE)&gt;0,HLOOKUP('Inputs and Outputs'!$D$11,'Neighborhood Characteristics'!$C$3:$BJ$49,'Neighborhood Matching Prefs'!$C14+1,FALSE)*J$1,IF(SUM(OFFSET('Neighborhood Characteristics'!$C$3,$A14,(HLOOKUP('Inputs and Outputs'!$D$11,'Neighborhood Characteristics'!$C$3:$BJ$51,49,FALSE)),$B14,1))&gt;0,J$1/2,0))</f>
        <v>7.5</v>
      </c>
      <c r="K14">
        <f ca="1">IF(HLOOKUP('Inputs and Outputs'!$D$12,'Neighborhood Characteristics'!$C$3:$BJ$49,'Neighborhood Matching Prefs'!$C14+1,FALSE)&gt;0,HLOOKUP('Inputs and Outputs'!$D$12,'Neighborhood Characteristics'!$C$3:$BJ$49,'Neighborhood Matching Prefs'!$C14+1,FALSE)*K$1,IF(SUM(OFFSET('Neighborhood Characteristics'!$C$3,$A14,(HLOOKUP('Inputs and Outputs'!$D$12,'Neighborhood Characteristics'!$C$3:$BJ$51,49,FALSE)),$B14,1))&gt;0,K$1/2,0))</f>
        <v>10</v>
      </c>
      <c r="L14">
        <f ca="1">IF(HLOOKUP('Inputs and Outputs'!$D$13,'Neighborhood Characteristics'!$C$3:$BJ$49,'Neighborhood Matching Prefs'!$C14+1,FALSE)&gt;0,HLOOKUP('Inputs and Outputs'!$D$13,'Neighborhood Characteristics'!$C$3:$BJ$49,'Neighborhood Matching Prefs'!$C14+1,FALSE)*L$1,IF(SUM(OFFSET('Neighborhood Characteristics'!$C$3,$A14,(HLOOKUP('Inputs and Outputs'!$D$13,'Neighborhood Characteristics'!$C$3:$BJ$51,49,FALSE)),$B14,1))&gt;0,L$1/2,0))</f>
        <v>0</v>
      </c>
      <c r="M14">
        <f ca="1">IF(HLOOKUP('Inputs and Outputs'!$D$14,'Neighborhood Characteristics'!$C$3:$BJ$49,'Neighborhood Matching Prefs'!$C14+1,FALSE)&gt;0,HLOOKUP('Inputs and Outputs'!$D$14,'Neighborhood Characteristics'!$C$3:$BJ$49,'Neighborhood Matching Prefs'!$C14+1,FALSE)*M$1,IF(SUM(OFFSET('Neighborhood Characteristics'!$C$3,$A14,(HLOOKUP('Inputs and Outputs'!$D$14,'Neighborhood Characteristics'!$C$3:$BJ$51,49,FALSE)),$B14,1))&gt;0,M$1/2,0))</f>
        <v>0</v>
      </c>
      <c r="N14">
        <f ca="1">IF(HLOOKUP('Inputs and Outputs'!$D$15,'Neighborhood Characteristics'!$C$3:$BJ$49,'Neighborhood Matching Prefs'!$C14+1,FALSE)&gt;0,HLOOKUP('Inputs and Outputs'!$D$15,'Neighborhood Characteristics'!$C$3:$BJ$49,'Neighborhood Matching Prefs'!$C14+1,FALSE)*N$1,IF(SUM(OFFSET('Neighborhood Characteristics'!$C$3,$A14,(HLOOKUP('Inputs and Outputs'!$D$15,'Neighborhood Characteristics'!$C$3:$BJ$51,49,FALSE)),$B14,1))&gt;0,N$1/2,0))</f>
        <v>0</v>
      </c>
      <c r="O14">
        <f ca="1">IF(HLOOKUP('Inputs and Outputs'!$D$16,'Neighborhood Characteristics'!$C$3:$BJ$49,'Neighborhood Matching Prefs'!$C14+1,FALSE)&gt;0,HLOOKUP('Inputs and Outputs'!$D$16,'Neighborhood Characteristics'!$C$3:$BJ$49,'Neighborhood Matching Prefs'!$C14+1,FALSE)*O$1,IF(SUM(OFFSET('Neighborhood Characteristics'!$C$3,$A14,(HLOOKUP('Inputs and Outputs'!$D$16,'Neighborhood Characteristics'!$C$3:$BJ$51,49,FALSE)),$B14,1))&gt;0,O$1/2,0))</f>
        <v>10</v>
      </c>
      <c r="P14">
        <f ca="1">IF(HLOOKUP('Inputs and Outputs'!$D$17,'Neighborhood Characteristics'!$C$3:$BJ$49,'Neighborhood Matching Prefs'!$C14+1,FALSE)&gt;0,HLOOKUP('Inputs and Outputs'!$D$17,'Neighborhood Characteristics'!$C$3:$BJ$49,'Neighborhood Matching Prefs'!$C14+1,FALSE)*P$1,IF(SUM(OFFSET('Neighborhood Characteristics'!$C$3,$A14,(HLOOKUP('Inputs and Outputs'!$D$17,'Neighborhood Characteristics'!$C$3:$BJ$51,49,FALSE)),$B14,1))&gt;0,P$1/2,0))</f>
        <v>10</v>
      </c>
      <c r="Q14" s="78">
        <f>IFERROR(HLOOKUP(D14,'Commuter Model'!$C$12:$AS$61,50,FALSE),0)*$Q$1</f>
        <v>11.5</v>
      </c>
      <c r="R14">
        <f t="shared" ca="1" si="0"/>
        <v>81.5</v>
      </c>
      <c r="S14">
        <f t="shared" ca="1" si="1"/>
        <v>31</v>
      </c>
      <c r="T14">
        <f ca="1">IF(COUNTIF($S$2:S13,S14)&gt;0,COUNTIF($S$2:S13,S14)+S14,S14)</f>
        <v>31</v>
      </c>
      <c r="U14" t="s">
        <v>12</v>
      </c>
    </row>
    <row r="15" spans="1:21">
      <c r="A15">
        <v>10</v>
      </c>
      <c r="B15">
        <v>6</v>
      </c>
      <c r="C15">
        <f t="shared" si="2"/>
        <v>12</v>
      </c>
      <c r="D15" s="27" t="s">
        <v>78</v>
      </c>
      <c r="E15">
        <f ca="1">IF(HLOOKUP('Inputs and Outputs'!$D$6,'Neighborhood Characteristics'!$C$3:$BJ$49,'Neighborhood Matching Prefs'!$C15+1,FALSE)&gt;0,HLOOKUP('Inputs and Outputs'!$D$6,'Neighborhood Characteristics'!$C$3:$BJ$49,'Neighborhood Matching Prefs'!$C15+1,FALSE)*E$1,IF(SUM(OFFSET('Neighborhood Characteristics'!$C$3,$A15,(HLOOKUP('Inputs and Outputs'!$D$6,'Neighborhood Characteristics'!$C$3:$BJ$51,49,FALSE)),$B15,1))&gt;0,E$1/2,0))</f>
        <v>5</v>
      </c>
      <c r="F15">
        <f ca="1">IF(HLOOKUP('Inputs and Outputs'!$D$7,'Neighborhood Characteristics'!$C$3:$BJ$49,'Neighborhood Matching Prefs'!$C15+1,FALSE)&gt;0,HLOOKUP('Inputs and Outputs'!$D$7,'Neighborhood Characteristics'!$C$3:$BJ$49,'Neighborhood Matching Prefs'!$C15+1,FALSE)*F$1,IF(SUM(OFFSET('Neighborhood Characteristics'!$C$3,$A15,(HLOOKUP('Inputs and Outputs'!$D$7,'Neighborhood Characteristics'!$C$3:$BJ$51,49,FALSE)),$B15,1))&gt;0,F$1/2,0))</f>
        <v>7.5</v>
      </c>
      <c r="G15">
        <f ca="1">IF(HLOOKUP('Inputs and Outputs'!$D$8,'Neighborhood Characteristics'!$C$3:$BJ$49,'Neighborhood Matching Prefs'!$C15+1,FALSE)&gt;0,HLOOKUP('Inputs and Outputs'!$D$8,'Neighborhood Characteristics'!$C$3:$BJ$49,'Neighborhood Matching Prefs'!$C15+1,FALSE)*G$1,IF(SUM(OFFSET('Neighborhood Characteristics'!$C$3,$A15,(HLOOKUP('Inputs and Outputs'!$D$8,'Neighborhood Characteristics'!$C$3:$BJ$51,49,FALSE)),$B15,1))&gt;0,G$1/2,0))</f>
        <v>10</v>
      </c>
      <c r="H15">
        <f ca="1">IF(HLOOKUP('Inputs and Outputs'!$D$9,'Neighborhood Characteristics'!$C$3:$BJ$49,'Neighborhood Matching Prefs'!$C15+1,FALSE)&gt;0,HLOOKUP('Inputs and Outputs'!$D$9,'Neighborhood Characteristics'!$C$3:$BJ$49,'Neighborhood Matching Prefs'!$C15+1,FALSE)*H$1,IF(SUM(OFFSET('Neighborhood Characteristics'!$C$3,$A15,(HLOOKUP('Inputs and Outputs'!$D$9,'Neighborhood Characteristics'!$C$3:$BJ$51,49,FALSE)),$B15,1))&gt;0,H$1/2,0))</f>
        <v>15</v>
      </c>
      <c r="I15">
        <f ca="1">IF(HLOOKUP('Inputs and Outputs'!$D$10,'Neighborhood Characteristics'!$C$3:$BJ$49,'Neighborhood Matching Prefs'!$C15+1,FALSE)&gt;0,HLOOKUP('Inputs and Outputs'!$D$10,'Neighborhood Characteristics'!$C$3:$BJ$49,'Neighborhood Matching Prefs'!$C15+1,FALSE)*I$1,IF(SUM(OFFSET('Neighborhood Characteristics'!$C$3,$A15,(HLOOKUP('Inputs and Outputs'!$D$10,'Neighborhood Characteristics'!$C$3:$BJ$51,49,FALSE)),$B15,1))&gt;0,I$1/2,0))</f>
        <v>0</v>
      </c>
      <c r="J15">
        <f ca="1">IF(HLOOKUP('Inputs and Outputs'!$D$11,'Neighborhood Characteristics'!$C$3:$BJ$49,'Neighborhood Matching Prefs'!$C15+1,FALSE)&gt;0,HLOOKUP('Inputs and Outputs'!$D$11,'Neighborhood Characteristics'!$C$3:$BJ$49,'Neighborhood Matching Prefs'!$C15+1,FALSE)*J$1,IF(SUM(OFFSET('Neighborhood Characteristics'!$C$3,$A15,(HLOOKUP('Inputs and Outputs'!$D$11,'Neighborhood Characteristics'!$C$3:$BJ$51,49,FALSE)),$B15,1))&gt;0,J$1/2,0))</f>
        <v>7.5</v>
      </c>
      <c r="K15">
        <f ca="1">IF(HLOOKUP('Inputs and Outputs'!$D$12,'Neighborhood Characteristics'!$C$3:$BJ$49,'Neighborhood Matching Prefs'!$C15+1,FALSE)&gt;0,HLOOKUP('Inputs and Outputs'!$D$12,'Neighborhood Characteristics'!$C$3:$BJ$49,'Neighborhood Matching Prefs'!$C15+1,FALSE)*K$1,IF(SUM(OFFSET('Neighborhood Characteristics'!$C$3,$A15,(HLOOKUP('Inputs and Outputs'!$D$12,'Neighborhood Characteristics'!$C$3:$BJ$51,49,FALSE)),$B15,1))&gt;0,K$1/2,0))</f>
        <v>10</v>
      </c>
      <c r="L15">
        <f ca="1">IF(HLOOKUP('Inputs and Outputs'!$D$13,'Neighborhood Characteristics'!$C$3:$BJ$49,'Neighborhood Matching Prefs'!$C15+1,FALSE)&gt;0,HLOOKUP('Inputs and Outputs'!$D$13,'Neighborhood Characteristics'!$C$3:$BJ$49,'Neighborhood Matching Prefs'!$C15+1,FALSE)*L$1,IF(SUM(OFFSET('Neighborhood Characteristics'!$C$3,$A15,(HLOOKUP('Inputs and Outputs'!$D$13,'Neighborhood Characteristics'!$C$3:$BJ$51,49,FALSE)),$B15,1))&gt;0,L$1/2,0))</f>
        <v>0</v>
      </c>
      <c r="M15">
        <f ca="1">IF(HLOOKUP('Inputs and Outputs'!$D$14,'Neighborhood Characteristics'!$C$3:$BJ$49,'Neighborhood Matching Prefs'!$C15+1,FALSE)&gt;0,HLOOKUP('Inputs and Outputs'!$D$14,'Neighborhood Characteristics'!$C$3:$BJ$49,'Neighborhood Matching Prefs'!$C15+1,FALSE)*M$1,IF(SUM(OFFSET('Neighborhood Characteristics'!$C$3,$A15,(HLOOKUP('Inputs and Outputs'!$D$14,'Neighborhood Characteristics'!$C$3:$BJ$51,49,FALSE)),$B15,1))&gt;0,M$1/2,0))</f>
        <v>0</v>
      </c>
      <c r="N15">
        <f ca="1">IF(HLOOKUP('Inputs and Outputs'!$D$15,'Neighborhood Characteristics'!$C$3:$BJ$49,'Neighborhood Matching Prefs'!$C15+1,FALSE)&gt;0,HLOOKUP('Inputs and Outputs'!$D$15,'Neighborhood Characteristics'!$C$3:$BJ$49,'Neighborhood Matching Prefs'!$C15+1,FALSE)*N$1,IF(SUM(OFFSET('Neighborhood Characteristics'!$C$3,$A15,(HLOOKUP('Inputs and Outputs'!$D$15,'Neighborhood Characteristics'!$C$3:$BJ$51,49,FALSE)),$B15,1))&gt;0,N$1/2,0))</f>
        <v>0</v>
      </c>
      <c r="O15">
        <f ca="1">IF(HLOOKUP('Inputs and Outputs'!$D$16,'Neighborhood Characteristics'!$C$3:$BJ$49,'Neighborhood Matching Prefs'!$C15+1,FALSE)&gt;0,HLOOKUP('Inputs and Outputs'!$D$16,'Neighborhood Characteristics'!$C$3:$BJ$49,'Neighborhood Matching Prefs'!$C15+1,FALSE)*O$1,IF(SUM(OFFSET('Neighborhood Characteristics'!$C$3,$A15,(HLOOKUP('Inputs and Outputs'!$D$16,'Neighborhood Characteristics'!$C$3:$BJ$51,49,FALSE)),$B15,1))&gt;0,O$1/2,0))</f>
        <v>10</v>
      </c>
      <c r="P15">
        <f ca="1">IF(HLOOKUP('Inputs and Outputs'!$D$17,'Neighborhood Characteristics'!$C$3:$BJ$49,'Neighborhood Matching Prefs'!$C15+1,FALSE)&gt;0,HLOOKUP('Inputs and Outputs'!$D$17,'Neighborhood Characteristics'!$C$3:$BJ$49,'Neighborhood Matching Prefs'!$C15+1,FALSE)*P$1,IF(SUM(OFFSET('Neighborhood Characteristics'!$C$3,$A15,(HLOOKUP('Inputs and Outputs'!$D$17,'Neighborhood Characteristics'!$C$3:$BJ$51,49,FALSE)),$B15,1))&gt;0,P$1/2,0))</f>
        <v>10</v>
      </c>
      <c r="Q15" s="78">
        <f>IFERROR(HLOOKUP(D15,'Commuter Model'!$C$12:$AS$61,50,FALSE),0)*$Q$1</f>
        <v>14.999999999999998</v>
      </c>
      <c r="R15">
        <f t="shared" ca="1" si="0"/>
        <v>90</v>
      </c>
      <c r="S15">
        <f t="shared" ca="1" si="1"/>
        <v>19</v>
      </c>
      <c r="T15">
        <f ca="1">IF(COUNTIF($S$2:S14,S15)&gt;0,COUNTIF($S$2:S14,S15)+S15,S15)</f>
        <v>19</v>
      </c>
      <c r="U15" t="s">
        <v>78</v>
      </c>
    </row>
    <row r="16" spans="1:21">
      <c r="A16">
        <v>10</v>
      </c>
      <c r="B16">
        <v>6</v>
      </c>
      <c r="C16">
        <f t="shared" si="2"/>
        <v>13</v>
      </c>
      <c r="D16" s="17" t="s">
        <v>55</v>
      </c>
      <c r="E16">
        <f ca="1">IF(HLOOKUP('Inputs and Outputs'!$D$6,'Neighborhood Characteristics'!$C$3:$BJ$49,'Neighborhood Matching Prefs'!$C16+1,FALSE)&gt;0,HLOOKUP('Inputs and Outputs'!$D$6,'Neighborhood Characteristics'!$C$3:$BJ$49,'Neighborhood Matching Prefs'!$C16+1,FALSE)*E$1,IF(SUM(OFFSET('Neighborhood Characteristics'!$C$3,$A16,(HLOOKUP('Inputs and Outputs'!$D$6,'Neighborhood Characteristics'!$C$3:$BJ$51,49,FALSE)),$B16,1))&gt;0,E$1/2,0))</f>
        <v>5</v>
      </c>
      <c r="F16">
        <f ca="1">IF(HLOOKUP('Inputs and Outputs'!$D$7,'Neighborhood Characteristics'!$C$3:$BJ$49,'Neighborhood Matching Prefs'!$C16+1,FALSE)&gt;0,HLOOKUP('Inputs and Outputs'!$D$7,'Neighborhood Characteristics'!$C$3:$BJ$49,'Neighborhood Matching Prefs'!$C16+1,FALSE)*F$1,IF(SUM(OFFSET('Neighborhood Characteristics'!$C$3,$A16,(HLOOKUP('Inputs and Outputs'!$D$7,'Neighborhood Characteristics'!$C$3:$BJ$51,49,FALSE)),$B16,1))&gt;0,F$1/2,0))</f>
        <v>15</v>
      </c>
      <c r="G16">
        <f ca="1">IF(HLOOKUP('Inputs and Outputs'!$D$8,'Neighborhood Characteristics'!$C$3:$BJ$49,'Neighborhood Matching Prefs'!$C16+1,FALSE)&gt;0,HLOOKUP('Inputs and Outputs'!$D$8,'Neighborhood Characteristics'!$C$3:$BJ$49,'Neighborhood Matching Prefs'!$C16+1,FALSE)*G$1,IF(SUM(OFFSET('Neighborhood Characteristics'!$C$3,$A16,(HLOOKUP('Inputs and Outputs'!$D$8,'Neighborhood Characteristics'!$C$3:$BJ$51,49,FALSE)),$B16,1))&gt;0,G$1/2,0))</f>
        <v>5</v>
      </c>
      <c r="H16">
        <f ca="1">IF(HLOOKUP('Inputs and Outputs'!$D$9,'Neighborhood Characteristics'!$C$3:$BJ$49,'Neighborhood Matching Prefs'!$C16+1,FALSE)&gt;0,HLOOKUP('Inputs and Outputs'!$D$9,'Neighborhood Characteristics'!$C$3:$BJ$49,'Neighborhood Matching Prefs'!$C16+1,FALSE)*H$1,IF(SUM(OFFSET('Neighborhood Characteristics'!$C$3,$A16,(HLOOKUP('Inputs and Outputs'!$D$9,'Neighborhood Characteristics'!$C$3:$BJ$51,49,FALSE)),$B16,1))&gt;0,H$1/2,0))</f>
        <v>15</v>
      </c>
      <c r="I16">
        <f ca="1">IF(HLOOKUP('Inputs and Outputs'!$D$10,'Neighborhood Characteristics'!$C$3:$BJ$49,'Neighborhood Matching Prefs'!$C16+1,FALSE)&gt;0,HLOOKUP('Inputs and Outputs'!$D$10,'Neighborhood Characteristics'!$C$3:$BJ$49,'Neighborhood Matching Prefs'!$C16+1,FALSE)*I$1,IF(SUM(OFFSET('Neighborhood Characteristics'!$C$3,$A16,(HLOOKUP('Inputs and Outputs'!$D$10,'Neighborhood Characteristics'!$C$3:$BJ$51,49,FALSE)),$B16,1))&gt;0,I$1/2,0))</f>
        <v>0</v>
      </c>
      <c r="J16">
        <f ca="1">IF(HLOOKUP('Inputs and Outputs'!$D$11,'Neighborhood Characteristics'!$C$3:$BJ$49,'Neighborhood Matching Prefs'!$C16+1,FALSE)&gt;0,HLOOKUP('Inputs and Outputs'!$D$11,'Neighborhood Characteristics'!$C$3:$BJ$49,'Neighborhood Matching Prefs'!$C16+1,FALSE)*J$1,IF(SUM(OFFSET('Neighborhood Characteristics'!$C$3,$A16,(HLOOKUP('Inputs and Outputs'!$D$11,'Neighborhood Characteristics'!$C$3:$BJ$51,49,FALSE)),$B16,1))&gt;0,J$1/2,0))</f>
        <v>15</v>
      </c>
      <c r="K16">
        <f ca="1">IF(HLOOKUP('Inputs and Outputs'!$D$12,'Neighborhood Characteristics'!$C$3:$BJ$49,'Neighborhood Matching Prefs'!$C16+1,FALSE)&gt;0,HLOOKUP('Inputs and Outputs'!$D$12,'Neighborhood Characteristics'!$C$3:$BJ$49,'Neighborhood Matching Prefs'!$C16+1,FALSE)*K$1,IF(SUM(OFFSET('Neighborhood Characteristics'!$C$3,$A16,(HLOOKUP('Inputs and Outputs'!$D$12,'Neighborhood Characteristics'!$C$3:$BJ$51,49,FALSE)),$B16,1))&gt;0,K$1/2,0))</f>
        <v>10</v>
      </c>
      <c r="L16">
        <f ca="1">IF(HLOOKUP('Inputs and Outputs'!$D$13,'Neighborhood Characteristics'!$C$3:$BJ$49,'Neighborhood Matching Prefs'!$C16+1,FALSE)&gt;0,HLOOKUP('Inputs and Outputs'!$D$13,'Neighborhood Characteristics'!$C$3:$BJ$49,'Neighborhood Matching Prefs'!$C16+1,FALSE)*L$1,IF(SUM(OFFSET('Neighborhood Characteristics'!$C$3,$A16,(HLOOKUP('Inputs and Outputs'!$D$13,'Neighborhood Characteristics'!$C$3:$BJ$51,49,FALSE)),$B16,1))&gt;0,L$1/2,0))</f>
        <v>0</v>
      </c>
      <c r="M16">
        <f ca="1">IF(HLOOKUP('Inputs and Outputs'!$D$14,'Neighborhood Characteristics'!$C$3:$BJ$49,'Neighborhood Matching Prefs'!$C16+1,FALSE)&gt;0,HLOOKUP('Inputs and Outputs'!$D$14,'Neighborhood Characteristics'!$C$3:$BJ$49,'Neighborhood Matching Prefs'!$C16+1,FALSE)*M$1,IF(SUM(OFFSET('Neighborhood Characteristics'!$C$3,$A16,(HLOOKUP('Inputs and Outputs'!$D$14,'Neighborhood Characteristics'!$C$3:$BJ$51,49,FALSE)),$B16,1))&gt;0,M$1/2,0))</f>
        <v>0</v>
      </c>
      <c r="N16">
        <f ca="1">IF(HLOOKUP('Inputs and Outputs'!$D$15,'Neighborhood Characteristics'!$C$3:$BJ$49,'Neighborhood Matching Prefs'!$C16+1,FALSE)&gt;0,HLOOKUP('Inputs and Outputs'!$D$15,'Neighborhood Characteristics'!$C$3:$BJ$49,'Neighborhood Matching Prefs'!$C16+1,FALSE)*N$1,IF(SUM(OFFSET('Neighborhood Characteristics'!$C$3,$A16,(HLOOKUP('Inputs and Outputs'!$D$15,'Neighborhood Characteristics'!$C$3:$BJ$51,49,FALSE)),$B16,1))&gt;0,N$1/2,0))</f>
        <v>0</v>
      </c>
      <c r="O16">
        <f ca="1">IF(HLOOKUP('Inputs and Outputs'!$D$16,'Neighborhood Characteristics'!$C$3:$BJ$49,'Neighborhood Matching Prefs'!$C16+1,FALSE)&gt;0,HLOOKUP('Inputs and Outputs'!$D$16,'Neighborhood Characteristics'!$C$3:$BJ$49,'Neighborhood Matching Prefs'!$C16+1,FALSE)*O$1,IF(SUM(OFFSET('Neighborhood Characteristics'!$C$3,$A16,(HLOOKUP('Inputs and Outputs'!$D$16,'Neighborhood Characteristics'!$C$3:$BJ$51,49,FALSE)),$B16,1))&gt;0,O$1/2,0))</f>
        <v>10</v>
      </c>
      <c r="P16">
        <f ca="1">IF(HLOOKUP('Inputs and Outputs'!$D$17,'Neighborhood Characteristics'!$C$3:$BJ$49,'Neighborhood Matching Prefs'!$C16+1,FALSE)&gt;0,HLOOKUP('Inputs and Outputs'!$D$17,'Neighborhood Characteristics'!$C$3:$BJ$49,'Neighborhood Matching Prefs'!$C16+1,FALSE)*P$1,IF(SUM(OFFSET('Neighborhood Characteristics'!$C$3,$A16,(HLOOKUP('Inputs and Outputs'!$D$17,'Neighborhood Characteristics'!$C$3:$BJ$51,49,FALSE)),$B16,1))&gt;0,P$1/2,0))</f>
        <v>10</v>
      </c>
      <c r="Q16" s="78">
        <f>IFERROR(HLOOKUP(D16,'Commuter Model'!$C$12:$AS$61,50,FALSE),0)*$Q$1</f>
        <v>0</v>
      </c>
      <c r="R16">
        <f t="shared" ca="1" si="0"/>
        <v>85</v>
      </c>
      <c r="S16">
        <f t="shared" ca="1" si="1"/>
        <v>26</v>
      </c>
      <c r="T16">
        <f ca="1">IF(COUNTIF($S$2:S15,S16)&gt;0,COUNTIF($S$2:S15,S16)+S16,S16)</f>
        <v>26</v>
      </c>
      <c r="U16" t="s">
        <v>55</v>
      </c>
    </row>
    <row r="17" spans="1:21">
      <c r="A17">
        <v>10</v>
      </c>
      <c r="B17">
        <v>6</v>
      </c>
      <c r="C17">
        <f t="shared" si="2"/>
        <v>14</v>
      </c>
      <c r="D17" s="17" t="s">
        <v>7</v>
      </c>
      <c r="E17">
        <f ca="1">IF(HLOOKUP('Inputs and Outputs'!$D$6,'Neighborhood Characteristics'!$C$3:$BJ$49,'Neighborhood Matching Prefs'!$C17+1,FALSE)&gt;0,HLOOKUP('Inputs and Outputs'!$D$6,'Neighborhood Characteristics'!$C$3:$BJ$49,'Neighborhood Matching Prefs'!$C17+1,FALSE)*E$1,IF(SUM(OFFSET('Neighborhood Characteristics'!$C$3,$A17,(HLOOKUP('Inputs and Outputs'!$D$6,'Neighborhood Characteristics'!$C$3:$BJ$51,49,FALSE)),$B17,1))&gt;0,E$1/2,0))</f>
        <v>10</v>
      </c>
      <c r="F17">
        <f ca="1">IF(HLOOKUP('Inputs and Outputs'!$D$7,'Neighborhood Characteristics'!$C$3:$BJ$49,'Neighborhood Matching Prefs'!$C17+1,FALSE)&gt;0,HLOOKUP('Inputs and Outputs'!$D$7,'Neighborhood Characteristics'!$C$3:$BJ$49,'Neighborhood Matching Prefs'!$C17+1,FALSE)*F$1,IF(SUM(OFFSET('Neighborhood Characteristics'!$C$3,$A17,(HLOOKUP('Inputs and Outputs'!$D$7,'Neighborhood Characteristics'!$C$3:$BJ$51,49,FALSE)),$B17,1))&gt;0,F$1/2,0))</f>
        <v>15</v>
      </c>
      <c r="G17">
        <f ca="1">IF(HLOOKUP('Inputs and Outputs'!$D$8,'Neighborhood Characteristics'!$C$3:$BJ$49,'Neighborhood Matching Prefs'!$C17+1,FALSE)&gt;0,HLOOKUP('Inputs and Outputs'!$D$8,'Neighborhood Characteristics'!$C$3:$BJ$49,'Neighborhood Matching Prefs'!$C17+1,FALSE)*G$1,IF(SUM(OFFSET('Neighborhood Characteristics'!$C$3,$A17,(HLOOKUP('Inputs and Outputs'!$D$8,'Neighborhood Characteristics'!$C$3:$BJ$51,49,FALSE)),$B17,1))&gt;0,G$1/2,0))</f>
        <v>5</v>
      </c>
      <c r="H17">
        <f ca="1">IF(HLOOKUP('Inputs and Outputs'!$D$9,'Neighborhood Characteristics'!$C$3:$BJ$49,'Neighborhood Matching Prefs'!$C17+1,FALSE)&gt;0,HLOOKUP('Inputs and Outputs'!$D$9,'Neighborhood Characteristics'!$C$3:$BJ$49,'Neighborhood Matching Prefs'!$C17+1,FALSE)*H$1,IF(SUM(OFFSET('Neighborhood Characteristics'!$C$3,$A17,(HLOOKUP('Inputs and Outputs'!$D$9,'Neighborhood Characteristics'!$C$3:$BJ$51,49,FALSE)),$B17,1))&gt;0,H$1/2,0))</f>
        <v>30</v>
      </c>
      <c r="I17">
        <f ca="1">IF(HLOOKUP('Inputs and Outputs'!$D$10,'Neighborhood Characteristics'!$C$3:$BJ$49,'Neighborhood Matching Prefs'!$C17+1,FALSE)&gt;0,HLOOKUP('Inputs and Outputs'!$D$10,'Neighborhood Characteristics'!$C$3:$BJ$49,'Neighborhood Matching Prefs'!$C17+1,FALSE)*I$1,IF(SUM(OFFSET('Neighborhood Characteristics'!$C$3,$A17,(HLOOKUP('Inputs and Outputs'!$D$10,'Neighborhood Characteristics'!$C$3:$BJ$51,49,FALSE)),$B17,1))&gt;0,I$1/2,0))</f>
        <v>0</v>
      </c>
      <c r="J17">
        <f ca="1">IF(HLOOKUP('Inputs and Outputs'!$D$11,'Neighborhood Characteristics'!$C$3:$BJ$49,'Neighborhood Matching Prefs'!$C17+1,FALSE)&gt;0,HLOOKUP('Inputs and Outputs'!$D$11,'Neighborhood Characteristics'!$C$3:$BJ$49,'Neighborhood Matching Prefs'!$C17+1,FALSE)*J$1,IF(SUM(OFFSET('Neighborhood Characteristics'!$C$3,$A17,(HLOOKUP('Inputs and Outputs'!$D$11,'Neighborhood Characteristics'!$C$3:$BJ$51,49,FALSE)),$B17,1))&gt;0,J$1/2,0))</f>
        <v>7.5</v>
      </c>
      <c r="K17">
        <f ca="1">IF(HLOOKUP('Inputs and Outputs'!$D$12,'Neighborhood Characteristics'!$C$3:$BJ$49,'Neighborhood Matching Prefs'!$C17+1,FALSE)&gt;0,HLOOKUP('Inputs and Outputs'!$D$12,'Neighborhood Characteristics'!$C$3:$BJ$49,'Neighborhood Matching Prefs'!$C17+1,FALSE)*K$1,IF(SUM(OFFSET('Neighborhood Characteristics'!$C$3,$A17,(HLOOKUP('Inputs and Outputs'!$D$12,'Neighborhood Characteristics'!$C$3:$BJ$51,49,FALSE)),$B17,1))&gt;0,K$1/2,0))</f>
        <v>5</v>
      </c>
      <c r="L17">
        <f ca="1">IF(HLOOKUP('Inputs and Outputs'!$D$13,'Neighborhood Characteristics'!$C$3:$BJ$49,'Neighborhood Matching Prefs'!$C17+1,FALSE)&gt;0,HLOOKUP('Inputs and Outputs'!$D$13,'Neighborhood Characteristics'!$C$3:$BJ$49,'Neighborhood Matching Prefs'!$C17+1,FALSE)*L$1,IF(SUM(OFFSET('Neighborhood Characteristics'!$C$3,$A17,(HLOOKUP('Inputs and Outputs'!$D$13,'Neighborhood Characteristics'!$C$3:$BJ$51,49,FALSE)),$B17,1))&gt;0,L$1/2,0))</f>
        <v>0</v>
      </c>
      <c r="M17">
        <f ca="1">IF(HLOOKUP('Inputs and Outputs'!$D$14,'Neighborhood Characteristics'!$C$3:$BJ$49,'Neighborhood Matching Prefs'!$C17+1,FALSE)&gt;0,HLOOKUP('Inputs and Outputs'!$D$14,'Neighborhood Characteristics'!$C$3:$BJ$49,'Neighborhood Matching Prefs'!$C17+1,FALSE)*M$1,IF(SUM(OFFSET('Neighborhood Characteristics'!$C$3,$A17,(HLOOKUP('Inputs and Outputs'!$D$14,'Neighborhood Characteristics'!$C$3:$BJ$51,49,FALSE)),$B17,1))&gt;0,M$1/2,0))</f>
        <v>0</v>
      </c>
      <c r="N17">
        <f ca="1">IF(HLOOKUP('Inputs and Outputs'!$D$15,'Neighborhood Characteristics'!$C$3:$BJ$49,'Neighborhood Matching Prefs'!$C17+1,FALSE)&gt;0,HLOOKUP('Inputs and Outputs'!$D$15,'Neighborhood Characteristics'!$C$3:$BJ$49,'Neighborhood Matching Prefs'!$C17+1,FALSE)*N$1,IF(SUM(OFFSET('Neighborhood Characteristics'!$C$3,$A17,(HLOOKUP('Inputs and Outputs'!$D$15,'Neighborhood Characteristics'!$C$3:$BJ$51,49,FALSE)),$B17,1))&gt;0,N$1/2,0))</f>
        <v>0</v>
      </c>
      <c r="O17">
        <f ca="1">IF(HLOOKUP('Inputs and Outputs'!$D$16,'Neighborhood Characteristics'!$C$3:$BJ$49,'Neighborhood Matching Prefs'!$C17+1,FALSE)&gt;0,HLOOKUP('Inputs and Outputs'!$D$16,'Neighborhood Characteristics'!$C$3:$BJ$49,'Neighborhood Matching Prefs'!$C17+1,FALSE)*O$1,IF(SUM(OFFSET('Neighborhood Characteristics'!$C$3,$A17,(HLOOKUP('Inputs and Outputs'!$D$16,'Neighborhood Characteristics'!$C$3:$BJ$51,49,FALSE)),$B17,1))&gt;0,O$1/2,0))</f>
        <v>10</v>
      </c>
      <c r="P17">
        <f ca="1">IF(HLOOKUP('Inputs and Outputs'!$D$17,'Neighborhood Characteristics'!$C$3:$BJ$49,'Neighborhood Matching Prefs'!$C17+1,FALSE)&gt;0,HLOOKUP('Inputs and Outputs'!$D$17,'Neighborhood Characteristics'!$C$3:$BJ$49,'Neighborhood Matching Prefs'!$C17+1,FALSE)*P$1,IF(SUM(OFFSET('Neighborhood Characteristics'!$C$3,$A17,(HLOOKUP('Inputs and Outputs'!$D$17,'Neighborhood Characteristics'!$C$3:$BJ$51,49,FALSE)),$B17,1))&gt;0,P$1/2,0))</f>
        <v>10</v>
      </c>
      <c r="Q17" s="78">
        <f>IFERROR(HLOOKUP(D17,'Commuter Model'!$C$12:$AS$61,50,FALSE),0)*$Q$1</f>
        <v>11.5</v>
      </c>
      <c r="R17">
        <f t="shared" ca="1" si="0"/>
        <v>104</v>
      </c>
      <c r="S17">
        <f t="shared" ca="1" si="1"/>
        <v>11</v>
      </c>
      <c r="T17">
        <f ca="1">IF(COUNTIF($S$2:S16,S17)&gt;0,COUNTIF($S$2:S16,S17)+S17,S17)</f>
        <v>11</v>
      </c>
      <c r="U17" t="s">
        <v>7</v>
      </c>
    </row>
    <row r="18" spans="1:21">
      <c r="A18">
        <v>10</v>
      </c>
      <c r="B18">
        <v>6</v>
      </c>
      <c r="C18">
        <f t="shared" si="2"/>
        <v>15</v>
      </c>
      <c r="D18" s="17" t="s">
        <v>8</v>
      </c>
      <c r="E18">
        <f ca="1">IF(HLOOKUP('Inputs and Outputs'!$D$6,'Neighborhood Characteristics'!$C$3:$BJ$49,'Neighborhood Matching Prefs'!$C18+1,FALSE)&gt;0,HLOOKUP('Inputs and Outputs'!$D$6,'Neighborhood Characteristics'!$C$3:$BJ$49,'Neighborhood Matching Prefs'!$C18+1,FALSE)*E$1,IF(SUM(OFFSET('Neighborhood Characteristics'!$C$3,$A18,(HLOOKUP('Inputs and Outputs'!$D$6,'Neighborhood Characteristics'!$C$3:$BJ$51,49,FALSE)),$B18,1))&gt;0,E$1/2,0))</f>
        <v>5</v>
      </c>
      <c r="F18">
        <f ca="1">IF(HLOOKUP('Inputs and Outputs'!$D$7,'Neighborhood Characteristics'!$C$3:$BJ$49,'Neighborhood Matching Prefs'!$C18+1,FALSE)&gt;0,HLOOKUP('Inputs and Outputs'!$D$7,'Neighborhood Characteristics'!$C$3:$BJ$49,'Neighborhood Matching Prefs'!$C18+1,FALSE)*F$1,IF(SUM(OFFSET('Neighborhood Characteristics'!$C$3,$A18,(HLOOKUP('Inputs and Outputs'!$D$7,'Neighborhood Characteristics'!$C$3:$BJ$51,49,FALSE)),$B18,1))&gt;0,F$1/2,0))</f>
        <v>15</v>
      </c>
      <c r="G18">
        <f ca="1">IF(HLOOKUP('Inputs and Outputs'!$D$8,'Neighborhood Characteristics'!$C$3:$BJ$49,'Neighborhood Matching Prefs'!$C18+1,FALSE)&gt;0,HLOOKUP('Inputs and Outputs'!$D$8,'Neighborhood Characteristics'!$C$3:$BJ$49,'Neighborhood Matching Prefs'!$C18+1,FALSE)*G$1,IF(SUM(OFFSET('Neighborhood Characteristics'!$C$3,$A18,(HLOOKUP('Inputs and Outputs'!$D$8,'Neighborhood Characteristics'!$C$3:$BJ$51,49,FALSE)),$B18,1))&gt;0,G$1/2,0))</f>
        <v>5</v>
      </c>
      <c r="H18">
        <f ca="1">IF(HLOOKUP('Inputs and Outputs'!$D$9,'Neighborhood Characteristics'!$C$3:$BJ$49,'Neighborhood Matching Prefs'!$C18+1,FALSE)&gt;0,HLOOKUP('Inputs and Outputs'!$D$9,'Neighborhood Characteristics'!$C$3:$BJ$49,'Neighborhood Matching Prefs'!$C18+1,FALSE)*H$1,IF(SUM(OFFSET('Neighborhood Characteristics'!$C$3,$A18,(HLOOKUP('Inputs and Outputs'!$D$9,'Neighborhood Characteristics'!$C$3:$BJ$51,49,FALSE)),$B18,1))&gt;0,H$1/2,0))</f>
        <v>15</v>
      </c>
      <c r="I18">
        <f ca="1">IF(HLOOKUP('Inputs and Outputs'!$D$10,'Neighborhood Characteristics'!$C$3:$BJ$49,'Neighborhood Matching Prefs'!$C18+1,FALSE)&gt;0,HLOOKUP('Inputs and Outputs'!$D$10,'Neighborhood Characteristics'!$C$3:$BJ$49,'Neighborhood Matching Prefs'!$C18+1,FALSE)*I$1,IF(SUM(OFFSET('Neighborhood Characteristics'!$C$3,$A18,(HLOOKUP('Inputs and Outputs'!$D$10,'Neighborhood Characteristics'!$C$3:$BJ$51,49,FALSE)),$B18,1))&gt;0,I$1/2,0))</f>
        <v>0</v>
      </c>
      <c r="J18">
        <f ca="1">IF(HLOOKUP('Inputs and Outputs'!$D$11,'Neighborhood Characteristics'!$C$3:$BJ$49,'Neighborhood Matching Prefs'!$C18+1,FALSE)&gt;0,HLOOKUP('Inputs and Outputs'!$D$11,'Neighborhood Characteristics'!$C$3:$BJ$49,'Neighborhood Matching Prefs'!$C18+1,FALSE)*J$1,IF(SUM(OFFSET('Neighborhood Characteristics'!$C$3,$A18,(HLOOKUP('Inputs and Outputs'!$D$11,'Neighborhood Characteristics'!$C$3:$BJ$51,49,FALSE)),$B18,1))&gt;0,J$1/2,0))</f>
        <v>15</v>
      </c>
      <c r="K18">
        <f ca="1">IF(HLOOKUP('Inputs and Outputs'!$D$12,'Neighborhood Characteristics'!$C$3:$BJ$49,'Neighborhood Matching Prefs'!$C18+1,FALSE)&gt;0,HLOOKUP('Inputs and Outputs'!$D$12,'Neighborhood Characteristics'!$C$3:$BJ$49,'Neighborhood Matching Prefs'!$C18+1,FALSE)*K$1,IF(SUM(OFFSET('Neighborhood Characteristics'!$C$3,$A18,(HLOOKUP('Inputs and Outputs'!$D$12,'Neighborhood Characteristics'!$C$3:$BJ$51,49,FALSE)),$B18,1))&gt;0,K$1/2,0))</f>
        <v>10</v>
      </c>
      <c r="L18">
        <f ca="1">IF(HLOOKUP('Inputs and Outputs'!$D$13,'Neighborhood Characteristics'!$C$3:$BJ$49,'Neighborhood Matching Prefs'!$C18+1,FALSE)&gt;0,HLOOKUP('Inputs and Outputs'!$D$13,'Neighborhood Characteristics'!$C$3:$BJ$49,'Neighborhood Matching Prefs'!$C18+1,FALSE)*L$1,IF(SUM(OFFSET('Neighborhood Characteristics'!$C$3,$A18,(HLOOKUP('Inputs and Outputs'!$D$13,'Neighborhood Characteristics'!$C$3:$BJ$51,49,FALSE)),$B18,1))&gt;0,L$1/2,0))</f>
        <v>0</v>
      </c>
      <c r="M18">
        <f ca="1">IF(HLOOKUP('Inputs and Outputs'!$D$14,'Neighborhood Characteristics'!$C$3:$BJ$49,'Neighborhood Matching Prefs'!$C18+1,FALSE)&gt;0,HLOOKUP('Inputs and Outputs'!$D$14,'Neighborhood Characteristics'!$C$3:$BJ$49,'Neighborhood Matching Prefs'!$C18+1,FALSE)*M$1,IF(SUM(OFFSET('Neighborhood Characteristics'!$C$3,$A18,(HLOOKUP('Inputs and Outputs'!$D$14,'Neighborhood Characteristics'!$C$3:$BJ$51,49,FALSE)),$B18,1))&gt;0,M$1/2,0))</f>
        <v>0</v>
      </c>
      <c r="N18">
        <f ca="1">IF(HLOOKUP('Inputs and Outputs'!$D$15,'Neighborhood Characteristics'!$C$3:$BJ$49,'Neighborhood Matching Prefs'!$C18+1,FALSE)&gt;0,HLOOKUP('Inputs and Outputs'!$D$15,'Neighborhood Characteristics'!$C$3:$BJ$49,'Neighborhood Matching Prefs'!$C18+1,FALSE)*N$1,IF(SUM(OFFSET('Neighborhood Characteristics'!$C$3,$A18,(HLOOKUP('Inputs and Outputs'!$D$15,'Neighborhood Characteristics'!$C$3:$BJ$51,49,FALSE)),$B18,1))&gt;0,N$1/2,0))</f>
        <v>0</v>
      </c>
      <c r="O18">
        <f ca="1">IF(HLOOKUP('Inputs and Outputs'!$D$16,'Neighborhood Characteristics'!$C$3:$BJ$49,'Neighborhood Matching Prefs'!$C18+1,FALSE)&gt;0,HLOOKUP('Inputs and Outputs'!$D$16,'Neighborhood Characteristics'!$C$3:$BJ$49,'Neighborhood Matching Prefs'!$C18+1,FALSE)*O$1,IF(SUM(OFFSET('Neighborhood Characteristics'!$C$3,$A18,(HLOOKUP('Inputs and Outputs'!$D$16,'Neighborhood Characteristics'!$C$3:$BJ$51,49,FALSE)),$B18,1))&gt;0,O$1/2,0))</f>
        <v>10</v>
      </c>
      <c r="P18">
        <f ca="1">IF(HLOOKUP('Inputs and Outputs'!$D$17,'Neighborhood Characteristics'!$C$3:$BJ$49,'Neighborhood Matching Prefs'!$C18+1,FALSE)&gt;0,HLOOKUP('Inputs and Outputs'!$D$17,'Neighborhood Characteristics'!$C$3:$BJ$49,'Neighborhood Matching Prefs'!$C18+1,FALSE)*P$1,IF(SUM(OFFSET('Neighborhood Characteristics'!$C$3,$A18,(HLOOKUP('Inputs and Outputs'!$D$17,'Neighborhood Characteristics'!$C$3:$BJ$51,49,FALSE)),$B18,1))&gt;0,P$1/2,0))</f>
        <v>10</v>
      </c>
      <c r="Q18" s="78">
        <f>IFERROR(HLOOKUP(D18,'Commuter Model'!$C$12:$AS$61,50,FALSE),0)*$Q$1</f>
        <v>4.5</v>
      </c>
      <c r="R18">
        <f t="shared" ca="1" si="0"/>
        <v>89.5</v>
      </c>
      <c r="S18">
        <f t="shared" ca="1" si="1"/>
        <v>21</v>
      </c>
      <c r="T18">
        <f ca="1">IF(COUNTIF($S$2:S17,S18)&gt;0,COUNTIF($S$2:S17,S18)+S18,S18)</f>
        <v>21</v>
      </c>
      <c r="U18" t="s">
        <v>8</v>
      </c>
    </row>
    <row r="19" spans="1:21">
      <c r="A19">
        <v>16</v>
      </c>
      <c r="B19">
        <v>4</v>
      </c>
      <c r="C19">
        <f t="shared" si="2"/>
        <v>16</v>
      </c>
      <c r="D19" s="18" t="s">
        <v>156</v>
      </c>
      <c r="E19">
        <f ca="1">IF(HLOOKUP('Inputs and Outputs'!$D$6,'Neighborhood Characteristics'!$C$3:$BJ$49,'Neighborhood Matching Prefs'!$C19+1,FALSE)&gt;0,HLOOKUP('Inputs and Outputs'!$D$6,'Neighborhood Characteristics'!$C$3:$BJ$49,'Neighborhood Matching Prefs'!$C19+1,FALSE)*E$1,IF(SUM(OFFSET('Neighborhood Characteristics'!$C$3,$A19,(HLOOKUP('Inputs and Outputs'!$D$6,'Neighborhood Characteristics'!$C$3:$BJ$51,49,FALSE)),$B19,1))&gt;0,E$1/2,0))</f>
        <v>10</v>
      </c>
      <c r="F19">
        <f ca="1">IF(HLOOKUP('Inputs and Outputs'!$D$7,'Neighborhood Characteristics'!$C$3:$BJ$49,'Neighborhood Matching Prefs'!$C19+1,FALSE)&gt;0,HLOOKUP('Inputs and Outputs'!$D$7,'Neighborhood Characteristics'!$C$3:$BJ$49,'Neighborhood Matching Prefs'!$C19+1,FALSE)*F$1,IF(SUM(OFFSET('Neighborhood Characteristics'!$C$3,$A19,(HLOOKUP('Inputs and Outputs'!$D$7,'Neighborhood Characteristics'!$C$3:$BJ$51,49,FALSE)),$B19,1))&gt;0,F$1/2,0))</f>
        <v>15</v>
      </c>
      <c r="G19">
        <f ca="1">IF(HLOOKUP('Inputs and Outputs'!$D$8,'Neighborhood Characteristics'!$C$3:$BJ$49,'Neighborhood Matching Prefs'!$C19+1,FALSE)&gt;0,HLOOKUP('Inputs and Outputs'!$D$8,'Neighborhood Characteristics'!$C$3:$BJ$49,'Neighborhood Matching Prefs'!$C19+1,FALSE)*G$1,IF(SUM(OFFSET('Neighborhood Characteristics'!$C$3,$A19,(HLOOKUP('Inputs and Outputs'!$D$8,'Neighborhood Characteristics'!$C$3:$BJ$51,49,FALSE)),$B19,1))&gt;0,G$1/2,0))</f>
        <v>10</v>
      </c>
      <c r="H19">
        <f ca="1">IF(HLOOKUP('Inputs and Outputs'!$D$9,'Neighborhood Characteristics'!$C$3:$BJ$49,'Neighborhood Matching Prefs'!$C19+1,FALSE)&gt;0,HLOOKUP('Inputs and Outputs'!$D$9,'Neighborhood Characteristics'!$C$3:$BJ$49,'Neighborhood Matching Prefs'!$C19+1,FALSE)*H$1,IF(SUM(OFFSET('Neighborhood Characteristics'!$C$3,$A19,(HLOOKUP('Inputs and Outputs'!$D$9,'Neighborhood Characteristics'!$C$3:$BJ$51,49,FALSE)),$B19,1))&gt;0,H$1/2,0))</f>
        <v>30</v>
      </c>
      <c r="I19">
        <f ca="1">IF(HLOOKUP('Inputs and Outputs'!$D$10,'Neighborhood Characteristics'!$C$3:$BJ$49,'Neighborhood Matching Prefs'!$C19+1,FALSE)&gt;0,HLOOKUP('Inputs and Outputs'!$D$10,'Neighborhood Characteristics'!$C$3:$BJ$49,'Neighborhood Matching Prefs'!$C19+1,FALSE)*I$1,IF(SUM(OFFSET('Neighborhood Characteristics'!$C$3,$A19,(HLOOKUP('Inputs and Outputs'!$D$10,'Neighborhood Characteristics'!$C$3:$BJ$51,49,FALSE)),$B19,1))&gt;0,I$1/2,0))</f>
        <v>0</v>
      </c>
      <c r="J19">
        <f ca="1">IF(HLOOKUP('Inputs and Outputs'!$D$11,'Neighborhood Characteristics'!$C$3:$BJ$49,'Neighborhood Matching Prefs'!$C19+1,FALSE)&gt;0,HLOOKUP('Inputs and Outputs'!$D$11,'Neighborhood Characteristics'!$C$3:$BJ$49,'Neighborhood Matching Prefs'!$C19+1,FALSE)*J$1,IF(SUM(OFFSET('Neighborhood Characteristics'!$C$3,$A19,(HLOOKUP('Inputs and Outputs'!$D$11,'Neighborhood Characteristics'!$C$3:$BJ$51,49,FALSE)),$B19,1))&gt;0,J$1/2,0))</f>
        <v>15</v>
      </c>
      <c r="K19">
        <f ca="1">IF(HLOOKUP('Inputs and Outputs'!$D$12,'Neighborhood Characteristics'!$C$3:$BJ$49,'Neighborhood Matching Prefs'!$C19+1,FALSE)&gt;0,HLOOKUP('Inputs and Outputs'!$D$12,'Neighborhood Characteristics'!$C$3:$BJ$49,'Neighborhood Matching Prefs'!$C19+1,FALSE)*K$1,IF(SUM(OFFSET('Neighborhood Characteristics'!$C$3,$A19,(HLOOKUP('Inputs and Outputs'!$D$12,'Neighborhood Characteristics'!$C$3:$BJ$51,49,FALSE)),$B19,1))&gt;0,K$1/2,0))</f>
        <v>10</v>
      </c>
      <c r="L19">
        <f ca="1">IF(HLOOKUP('Inputs and Outputs'!$D$13,'Neighborhood Characteristics'!$C$3:$BJ$49,'Neighborhood Matching Prefs'!$C19+1,FALSE)&gt;0,HLOOKUP('Inputs and Outputs'!$D$13,'Neighborhood Characteristics'!$C$3:$BJ$49,'Neighborhood Matching Prefs'!$C19+1,FALSE)*L$1,IF(SUM(OFFSET('Neighborhood Characteristics'!$C$3,$A19,(HLOOKUP('Inputs and Outputs'!$D$13,'Neighborhood Characteristics'!$C$3:$BJ$51,49,FALSE)),$B19,1))&gt;0,L$1/2,0))</f>
        <v>0</v>
      </c>
      <c r="M19">
        <f ca="1">IF(HLOOKUP('Inputs and Outputs'!$D$14,'Neighborhood Characteristics'!$C$3:$BJ$49,'Neighborhood Matching Prefs'!$C19+1,FALSE)&gt;0,HLOOKUP('Inputs and Outputs'!$D$14,'Neighborhood Characteristics'!$C$3:$BJ$49,'Neighborhood Matching Prefs'!$C19+1,FALSE)*M$1,IF(SUM(OFFSET('Neighborhood Characteristics'!$C$3,$A19,(HLOOKUP('Inputs and Outputs'!$D$14,'Neighborhood Characteristics'!$C$3:$BJ$51,49,FALSE)),$B19,1))&gt;0,M$1/2,0))</f>
        <v>0</v>
      </c>
      <c r="N19">
        <f ca="1">IF(HLOOKUP('Inputs and Outputs'!$D$15,'Neighborhood Characteristics'!$C$3:$BJ$49,'Neighborhood Matching Prefs'!$C19+1,FALSE)&gt;0,HLOOKUP('Inputs and Outputs'!$D$15,'Neighborhood Characteristics'!$C$3:$BJ$49,'Neighborhood Matching Prefs'!$C19+1,FALSE)*N$1,IF(SUM(OFFSET('Neighborhood Characteristics'!$C$3,$A19,(HLOOKUP('Inputs and Outputs'!$D$15,'Neighborhood Characteristics'!$C$3:$BJ$51,49,FALSE)),$B19,1))&gt;0,N$1/2,0))</f>
        <v>0</v>
      </c>
      <c r="O19">
        <f ca="1">IF(HLOOKUP('Inputs and Outputs'!$D$16,'Neighborhood Characteristics'!$C$3:$BJ$49,'Neighborhood Matching Prefs'!$C19+1,FALSE)&gt;0,HLOOKUP('Inputs and Outputs'!$D$16,'Neighborhood Characteristics'!$C$3:$BJ$49,'Neighborhood Matching Prefs'!$C19+1,FALSE)*O$1,IF(SUM(OFFSET('Neighborhood Characteristics'!$C$3,$A19,(HLOOKUP('Inputs and Outputs'!$D$16,'Neighborhood Characteristics'!$C$3:$BJ$51,49,FALSE)),$B19,1))&gt;0,O$1/2,0))</f>
        <v>10</v>
      </c>
      <c r="P19">
        <f ca="1">IF(HLOOKUP('Inputs and Outputs'!$D$17,'Neighborhood Characteristics'!$C$3:$BJ$49,'Neighborhood Matching Prefs'!$C19+1,FALSE)&gt;0,HLOOKUP('Inputs and Outputs'!$D$17,'Neighborhood Characteristics'!$C$3:$BJ$49,'Neighborhood Matching Prefs'!$C19+1,FALSE)*P$1,IF(SUM(OFFSET('Neighborhood Characteristics'!$C$3,$A19,(HLOOKUP('Inputs and Outputs'!$D$17,'Neighborhood Characteristics'!$C$3:$BJ$51,49,FALSE)),$B19,1))&gt;0,P$1/2,0))</f>
        <v>10</v>
      </c>
      <c r="Q19" s="78">
        <f>IFERROR(HLOOKUP(D19,'Commuter Model'!$C$12:$AS$61,50,FALSE),0)*$Q$1</f>
        <v>16.5</v>
      </c>
      <c r="R19">
        <f t="shared" ca="1" si="0"/>
        <v>126.5</v>
      </c>
      <c r="S19">
        <f t="shared" ca="1" si="1"/>
        <v>2</v>
      </c>
      <c r="T19">
        <f ca="1">IF(COUNTIF($S$2:S18,S19)&gt;0,COUNTIF($S$2:S18,S19)+S19,S19)</f>
        <v>2</v>
      </c>
      <c r="U19" t="s">
        <v>156</v>
      </c>
    </row>
    <row r="20" spans="1:21">
      <c r="A20">
        <v>16</v>
      </c>
      <c r="B20">
        <v>4</v>
      </c>
      <c r="C20">
        <f t="shared" si="2"/>
        <v>17</v>
      </c>
      <c r="D20" s="18" t="s">
        <v>54</v>
      </c>
      <c r="E20">
        <f ca="1">IF(HLOOKUP('Inputs and Outputs'!$D$6,'Neighborhood Characteristics'!$C$3:$BJ$49,'Neighborhood Matching Prefs'!$C20+1,FALSE)&gt;0,HLOOKUP('Inputs and Outputs'!$D$6,'Neighborhood Characteristics'!$C$3:$BJ$49,'Neighborhood Matching Prefs'!$C20+1,FALSE)*E$1,IF(SUM(OFFSET('Neighborhood Characteristics'!$C$3,$A20,(HLOOKUP('Inputs and Outputs'!$D$6,'Neighborhood Characteristics'!$C$3:$BJ$51,49,FALSE)),$B20,1))&gt;0,E$1/2,0))</f>
        <v>5</v>
      </c>
      <c r="F20">
        <f ca="1">IF(HLOOKUP('Inputs and Outputs'!$D$7,'Neighborhood Characteristics'!$C$3:$BJ$49,'Neighborhood Matching Prefs'!$C20+1,FALSE)&gt;0,HLOOKUP('Inputs and Outputs'!$D$7,'Neighborhood Characteristics'!$C$3:$BJ$49,'Neighborhood Matching Prefs'!$C20+1,FALSE)*F$1,IF(SUM(OFFSET('Neighborhood Characteristics'!$C$3,$A20,(HLOOKUP('Inputs and Outputs'!$D$7,'Neighborhood Characteristics'!$C$3:$BJ$51,49,FALSE)),$B20,1))&gt;0,F$1/2,0))</f>
        <v>7.5</v>
      </c>
      <c r="G20">
        <f ca="1">IF(HLOOKUP('Inputs and Outputs'!$D$8,'Neighborhood Characteristics'!$C$3:$BJ$49,'Neighborhood Matching Prefs'!$C20+1,FALSE)&gt;0,HLOOKUP('Inputs and Outputs'!$D$8,'Neighborhood Characteristics'!$C$3:$BJ$49,'Neighborhood Matching Prefs'!$C20+1,FALSE)*G$1,IF(SUM(OFFSET('Neighborhood Characteristics'!$C$3,$A20,(HLOOKUP('Inputs and Outputs'!$D$8,'Neighborhood Characteristics'!$C$3:$BJ$51,49,FALSE)),$B20,1))&gt;0,G$1/2,0))</f>
        <v>20</v>
      </c>
      <c r="H20">
        <f ca="1">IF(HLOOKUP('Inputs and Outputs'!$D$9,'Neighborhood Characteristics'!$C$3:$BJ$49,'Neighborhood Matching Prefs'!$C20+1,FALSE)&gt;0,HLOOKUP('Inputs and Outputs'!$D$9,'Neighborhood Characteristics'!$C$3:$BJ$49,'Neighborhood Matching Prefs'!$C20+1,FALSE)*H$1,IF(SUM(OFFSET('Neighborhood Characteristics'!$C$3,$A20,(HLOOKUP('Inputs and Outputs'!$D$9,'Neighborhood Characteristics'!$C$3:$BJ$51,49,FALSE)),$B20,1))&gt;0,H$1/2,0))</f>
        <v>30</v>
      </c>
      <c r="I20">
        <f ca="1">IF(HLOOKUP('Inputs and Outputs'!$D$10,'Neighborhood Characteristics'!$C$3:$BJ$49,'Neighborhood Matching Prefs'!$C20+1,FALSE)&gt;0,HLOOKUP('Inputs and Outputs'!$D$10,'Neighborhood Characteristics'!$C$3:$BJ$49,'Neighborhood Matching Prefs'!$C20+1,FALSE)*I$1,IF(SUM(OFFSET('Neighborhood Characteristics'!$C$3,$A20,(HLOOKUP('Inputs and Outputs'!$D$10,'Neighborhood Characteristics'!$C$3:$BJ$51,49,FALSE)),$B20,1))&gt;0,I$1/2,0))</f>
        <v>0</v>
      </c>
      <c r="J20">
        <f ca="1">IF(HLOOKUP('Inputs and Outputs'!$D$11,'Neighborhood Characteristics'!$C$3:$BJ$49,'Neighborhood Matching Prefs'!$C20+1,FALSE)&gt;0,HLOOKUP('Inputs and Outputs'!$D$11,'Neighborhood Characteristics'!$C$3:$BJ$49,'Neighborhood Matching Prefs'!$C20+1,FALSE)*J$1,IF(SUM(OFFSET('Neighborhood Characteristics'!$C$3,$A20,(HLOOKUP('Inputs and Outputs'!$D$11,'Neighborhood Characteristics'!$C$3:$BJ$51,49,FALSE)),$B20,1))&gt;0,J$1/2,0))</f>
        <v>15</v>
      </c>
      <c r="K20">
        <f ca="1">IF(HLOOKUP('Inputs and Outputs'!$D$12,'Neighborhood Characteristics'!$C$3:$BJ$49,'Neighborhood Matching Prefs'!$C20+1,FALSE)&gt;0,HLOOKUP('Inputs and Outputs'!$D$12,'Neighborhood Characteristics'!$C$3:$BJ$49,'Neighborhood Matching Prefs'!$C20+1,FALSE)*K$1,IF(SUM(OFFSET('Neighborhood Characteristics'!$C$3,$A20,(HLOOKUP('Inputs and Outputs'!$D$12,'Neighborhood Characteristics'!$C$3:$BJ$51,49,FALSE)),$B20,1))&gt;0,K$1/2,0))</f>
        <v>10</v>
      </c>
      <c r="L20">
        <f ca="1">IF(HLOOKUP('Inputs and Outputs'!$D$13,'Neighborhood Characteristics'!$C$3:$BJ$49,'Neighborhood Matching Prefs'!$C20+1,FALSE)&gt;0,HLOOKUP('Inputs and Outputs'!$D$13,'Neighborhood Characteristics'!$C$3:$BJ$49,'Neighborhood Matching Prefs'!$C20+1,FALSE)*L$1,IF(SUM(OFFSET('Neighborhood Characteristics'!$C$3,$A20,(HLOOKUP('Inputs and Outputs'!$D$13,'Neighborhood Characteristics'!$C$3:$BJ$51,49,FALSE)),$B20,1))&gt;0,L$1/2,0))</f>
        <v>0</v>
      </c>
      <c r="M20">
        <f ca="1">IF(HLOOKUP('Inputs and Outputs'!$D$14,'Neighborhood Characteristics'!$C$3:$BJ$49,'Neighborhood Matching Prefs'!$C20+1,FALSE)&gt;0,HLOOKUP('Inputs and Outputs'!$D$14,'Neighborhood Characteristics'!$C$3:$BJ$49,'Neighborhood Matching Prefs'!$C20+1,FALSE)*M$1,IF(SUM(OFFSET('Neighborhood Characteristics'!$C$3,$A20,(HLOOKUP('Inputs and Outputs'!$D$14,'Neighborhood Characteristics'!$C$3:$BJ$51,49,FALSE)),$B20,1))&gt;0,M$1/2,0))</f>
        <v>0</v>
      </c>
      <c r="N20">
        <f ca="1">IF(HLOOKUP('Inputs and Outputs'!$D$15,'Neighborhood Characteristics'!$C$3:$BJ$49,'Neighborhood Matching Prefs'!$C20+1,FALSE)&gt;0,HLOOKUP('Inputs and Outputs'!$D$15,'Neighborhood Characteristics'!$C$3:$BJ$49,'Neighborhood Matching Prefs'!$C20+1,FALSE)*N$1,IF(SUM(OFFSET('Neighborhood Characteristics'!$C$3,$A20,(HLOOKUP('Inputs and Outputs'!$D$15,'Neighborhood Characteristics'!$C$3:$BJ$51,49,FALSE)),$B20,1))&gt;0,N$1/2,0))</f>
        <v>0</v>
      </c>
      <c r="O20">
        <f ca="1">IF(HLOOKUP('Inputs and Outputs'!$D$16,'Neighborhood Characteristics'!$C$3:$BJ$49,'Neighborhood Matching Prefs'!$C20+1,FALSE)&gt;0,HLOOKUP('Inputs and Outputs'!$D$16,'Neighborhood Characteristics'!$C$3:$BJ$49,'Neighborhood Matching Prefs'!$C20+1,FALSE)*O$1,IF(SUM(OFFSET('Neighborhood Characteristics'!$C$3,$A20,(HLOOKUP('Inputs and Outputs'!$D$16,'Neighborhood Characteristics'!$C$3:$BJ$51,49,FALSE)),$B20,1))&gt;0,O$1/2,0))</f>
        <v>10</v>
      </c>
      <c r="P20">
        <f ca="1">IF(HLOOKUP('Inputs and Outputs'!$D$17,'Neighborhood Characteristics'!$C$3:$BJ$49,'Neighborhood Matching Prefs'!$C20+1,FALSE)&gt;0,HLOOKUP('Inputs and Outputs'!$D$17,'Neighborhood Characteristics'!$C$3:$BJ$49,'Neighborhood Matching Prefs'!$C20+1,FALSE)*P$1,IF(SUM(OFFSET('Neighborhood Characteristics'!$C$3,$A20,(HLOOKUP('Inputs and Outputs'!$D$17,'Neighborhood Characteristics'!$C$3:$BJ$51,49,FALSE)),$B20,1))&gt;0,P$1/2,0))</f>
        <v>10</v>
      </c>
      <c r="Q20" s="78">
        <f>IFERROR(HLOOKUP(D20,'Commuter Model'!$C$12:$AS$61,50,FALSE),0)*$Q$1</f>
        <v>20</v>
      </c>
      <c r="R20">
        <f t="shared" ca="1" si="0"/>
        <v>127.5</v>
      </c>
      <c r="S20">
        <f t="shared" ca="1" si="1"/>
        <v>1</v>
      </c>
      <c r="T20">
        <f ca="1">IF(COUNTIF($S$2:S19,S20)&gt;0,COUNTIF($S$2:S19,S20)+S20,S20)</f>
        <v>1</v>
      </c>
      <c r="U20" t="s">
        <v>54</v>
      </c>
    </row>
    <row r="21" spans="1:21">
      <c r="A21">
        <v>16</v>
      </c>
      <c r="B21">
        <v>4</v>
      </c>
      <c r="C21">
        <f t="shared" si="2"/>
        <v>18</v>
      </c>
      <c r="D21" s="18" t="s">
        <v>56</v>
      </c>
      <c r="E21">
        <f ca="1">IF(HLOOKUP('Inputs and Outputs'!$D$6,'Neighborhood Characteristics'!$C$3:$BJ$49,'Neighborhood Matching Prefs'!$C21+1,FALSE)&gt;0,HLOOKUP('Inputs and Outputs'!$D$6,'Neighborhood Characteristics'!$C$3:$BJ$49,'Neighborhood Matching Prefs'!$C21+1,FALSE)*E$1,IF(SUM(OFFSET('Neighborhood Characteristics'!$C$3,$A21,(HLOOKUP('Inputs and Outputs'!$D$6,'Neighborhood Characteristics'!$C$3:$BJ$51,49,FALSE)),$B21,1))&gt;0,E$1/2,0))</f>
        <v>5</v>
      </c>
      <c r="F21">
        <f ca="1">IF(HLOOKUP('Inputs and Outputs'!$D$7,'Neighborhood Characteristics'!$C$3:$BJ$49,'Neighborhood Matching Prefs'!$C21+1,FALSE)&gt;0,HLOOKUP('Inputs and Outputs'!$D$7,'Neighborhood Characteristics'!$C$3:$BJ$49,'Neighborhood Matching Prefs'!$C21+1,FALSE)*F$1,IF(SUM(OFFSET('Neighborhood Characteristics'!$C$3,$A21,(HLOOKUP('Inputs and Outputs'!$D$7,'Neighborhood Characteristics'!$C$3:$BJ$51,49,FALSE)),$B21,1))&gt;0,F$1/2,0))</f>
        <v>7.5</v>
      </c>
      <c r="G21">
        <f ca="1">IF(HLOOKUP('Inputs and Outputs'!$D$8,'Neighborhood Characteristics'!$C$3:$BJ$49,'Neighborhood Matching Prefs'!$C21+1,FALSE)&gt;0,HLOOKUP('Inputs and Outputs'!$D$8,'Neighborhood Characteristics'!$C$3:$BJ$49,'Neighborhood Matching Prefs'!$C21+1,FALSE)*G$1,IF(SUM(OFFSET('Neighborhood Characteristics'!$C$3,$A21,(HLOOKUP('Inputs and Outputs'!$D$8,'Neighborhood Characteristics'!$C$3:$BJ$51,49,FALSE)),$B21,1))&gt;0,G$1/2,0))</f>
        <v>5</v>
      </c>
      <c r="H21">
        <f ca="1">IF(HLOOKUP('Inputs and Outputs'!$D$9,'Neighborhood Characteristics'!$C$3:$BJ$49,'Neighborhood Matching Prefs'!$C21+1,FALSE)&gt;0,HLOOKUP('Inputs and Outputs'!$D$9,'Neighborhood Characteristics'!$C$3:$BJ$49,'Neighborhood Matching Prefs'!$C21+1,FALSE)*H$1,IF(SUM(OFFSET('Neighborhood Characteristics'!$C$3,$A21,(HLOOKUP('Inputs and Outputs'!$D$9,'Neighborhood Characteristics'!$C$3:$BJ$51,49,FALSE)),$B21,1))&gt;0,H$1/2,0))</f>
        <v>30</v>
      </c>
      <c r="I21">
        <f ca="1">IF(HLOOKUP('Inputs and Outputs'!$D$10,'Neighborhood Characteristics'!$C$3:$BJ$49,'Neighborhood Matching Prefs'!$C21+1,FALSE)&gt;0,HLOOKUP('Inputs and Outputs'!$D$10,'Neighborhood Characteristics'!$C$3:$BJ$49,'Neighborhood Matching Prefs'!$C21+1,FALSE)*I$1,IF(SUM(OFFSET('Neighborhood Characteristics'!$C$3,$A21,(HLOOKUP('Inputs and Outputs'!$D$10,'Neighborhood Characteristics'!$C$3:$BJ$51,49,FALSE)),$B21,1))&gt;0,I$1/2,0))</f>
        <v>0</v>
      </c>
      <c r="J21">
        <f ca="1">IF(HLOOKUP('Inputs and Outputs'!$D$11,'Neighborhood Characteristics'!$C$3:$BJ$49,'Neighborhood Matching Prefs'!$C21+1,FALSE)&gt;0,HLOOKUP('Inputs and Outputs'!$D$11,'Neighborhood Characteristics'!$C$3:$BJ$49,'Neighborhood Matching Prefs'!$C21+1,FALSE)*J$1,IF(SUM(OFFSET('Neighborhood Characteristics'!$C$3,$A21,(HLOOKUP('Inputs and Outputs'!$D$11,'Neighborhood Characteristics'!$C$3:$BJ$51,49,FALSE)),$B21,1))&gt;0,J$1/2,0))</f>
        <v>15</v>
      </c>
      <c r="K21">
        <f ca="1">IF(HLOOKUP('Inputs and Outputs'!$D$12,'Neighborhood Characteristics'!$C$3:$BJ$49,'Neighborhood Matching Prefs'!$C21+1,FALSE)&gt;0,HLOOKUP('Inputs and Outputs'!$D$12,'Neighborhood Characteristics'!$C$3:$BJ$49,'Neighborhood Matching Prefs'!$C21+1,FALSE)*K$1,IF(SUM(OFFSET('Neighborhood Characteristics'!$C$3,$A21,(HLOOKUP('Inputs and Outputs'!$D$12,'Neighborhood Characteristics'!$C$3:$BJ$51,49,FALSE)),$B21,1))&gt;0,K$1/2,0))</f>
        <v>5</v>
      </c>
      <c r="L21">
        <f ca="1">IF(HLOOKUP('Inputs and Outputs'!$D$13,'Neighborhood Characteristics'!$C$3:$BJ$49,'Neighborhood Matching Prefs'!$C21+1,FALSE)&gt;0,HLOOKUP('Inputs and Outputs'!$D$13,'Neighborhood Characteristics'!$C$3:$BJ$49,'Neighborhood Matching Prefs'!$C21+1,FALSE)*L$1,IF(SUM(OFFSET('Neighborhood Characteristics'!$C$3,$A21,(HLOOKUP('Inputs and Outputs'!$D$13,'Neighborhood Characteristics'!$C$3:$BJ$51,49,FALSE)),$B21,1))&gt;0,L$1/2,0))</f>
        <v>0</v>
      </c>
      <c r="M21">
        <f ca="1">IF(HLOOKUP('Inputs and Outputs'!$D$14,'Neighborhood Characteristics'!$C$3:$BJ$49,'Neighborhood Matching Prefs'!$C21+1,FALSE)&gt;0,HLOOKUP('Inputs and Outputs'!$D$14,'Neighborhood Characteristics'!$C$3:$BJ$49,'Neighborhood Matching Prefs'!$C21+1,FALSE)*M$1,IF(SUM(OFFSET('Neighborhood Characteristics'!$C$3,$A21,(HLOOKUP('Inputs and Outputs'!$D$14,'Neighborhood Characteristics'!$C$3:$BJ$51,49,FALSE)),$B21,1))&gt;0,M$1/2,0))</f>
        <v>0</v>
      </c>
      <c r="N21">
        <f ca="1">IF(HLOOKUP('Inputs and Outputs'!$D$15,'Neighborhood Characteristics'!$C$3:$BJ$49,'Neighborhood Matching Prefs'!$C21+1,FALSE)&gt;0,HLOOKUP('Inputs and Outputs'!$D$15,'Neighborhood Characteristics'!$C$3:$BJ$49,'Neighborhood Matching Prefs'!$C21+1,FALSE)*N$1,IF(SUM(OFFSET('Neighborhood Characteristics'!$C$3,$A21,(HLOOKUP('Inputs and Outputs'!$D$15,'Neighborhood Characteristics'!$C$3:$BJ$51,49,FALSE)),$B21,1))&gt;0,N$1/2,0))</f>
        <v>0</v>
      </c>
      <c r="O21">
        <f ca="1">IF(HLOOKUP('Inputs and Outputs'!$D$16,'Neighborhood Characteristics'!$C$3:$BJ$49,'Neighborhood Matching Prefs'!$C21+1,FALSE)&gt;0,HLOOKUP('Inputs and Outputs'!$D$16,'Neighborhood Characteristics'!$C$3:$BJ$49,'Neighborhood Matching Prefs'!$C21+1,FALSE)*O$1,IF(SUM(OFFSET('Neighborhood Characteristics'!$C$3,$A21,(HLOOKUP('Inputs and Outputs'!$D$16,'Neighborhood Characteristics'!$C$3:$BJ$51,49,FALSE)),$B21,1))&gt;0,O$1/2,0))</f>
        <v>10</v>
      </c>
      <c r="P21">
        <f ca="1">IF(HLOOKUP('Inputs and Outputs'!$D$17,'Neighborhood Characteristics'!$C$3:$BJ$49,'Neighborhood Matching Prefs'!$C21+1,FALSE)&gt;0,HLOOKUP('Inputs and Outputs'!$D$17,'Neighborhood Characteristics'!$C$3:$BJ$49,'Neighborhood Matching Prefs'!$C21+1,FALSE)*P$1,IF(SUM(OFFSET('Neighborhood Characteristics'!$C$3,$A21,(HLOOKUP('Inputs and Outputs'!$D$17,'Neighborhood Characteristics'!$C$3:$BJ$51,49,FALSE)),$B21,1))&gt;0,P$1/2,0))</f>
        <v>10</v>
      </c>
      <c r="Q21" s="78">
        <f>IFERROR(HLOOKUP(D21,'Commuter Model'!$C$12:$AS$61,50,FALSE),0)*$Q$1</f>
        <v>21.5</v>
      </c>
      <c r="R21">
        <f t="shared" ca="1" si="0"/>
        <v>109</v>
      </c>
      <c r="S21">
        <f t="shared" ca="1" si="1"/>
        <v>8</v>
      </c>
      <c r="T21">
        <f ca="1">IF(COUNTIF($S$2:S20,S21)&gt;0,COUNTIF($S$2:S20,S21)+S21,S21)</f>
        <v>8</v>
      </c>
      <c r="U21" t="s">
        <v>56</v>
      </c>
    </row>
    <row r="22" spans="1:21">
      <c r="A22">
        <v>16</v>
      </c>
      <c r="B22">
        <v>4</v>
      </c>
      <c r="C22">
        <f t="shared" si="2"/>
        <v>19</v>
      </c>
      <c r="D22" s="18" t="s">
        <v>59</v>
      </c>
      <c r="E22">
        <f ca="1">IF(HLOOKUP('Inputs and Outputs'!$D$6,'Neighborhood Characteristics'!$C$3:$BJ$49,'Neighborhood Matching Prefs'!$C22+1,FALSE)&gt;0,HLOOKUP('Inputs and Outputs'!$D$6,'Neighborhood Characteristics'!$C$3:$BJ$49,'Neighborhood Matching Prefs'!$C22+1,FALSE)*E$1,IF(SUM(OFFSET('Neighborhood Characteristics'!$C$3,$A22,(HLOOKUP('Inputs and Outputs'!$D$6,'Neighborhood Characteristics'!$C$3:$BJ$51,49,FALSE)),$B22,1))&gt;0,E$1/2,0))</f>
        <v>5</v>
      </c>
      <c r="F22">
        <f ca="1">IF(HLOOKUP('Inputs and Outputs'!$D$7,'Neighborhood Characteristics'!$C$3:$BJ$49,'Neighborhood Matching Prefs'!$C22+1,FALSE)&gt;0,HLOOKUP('Inputs and Outputs'!$D$7,'Neighborhood Characteristics'!$C$3:$BJ$49,'Neighborhood Matching Prefs'!$C22+1,FALSE)*F$1,IF(SUM(OFFSET('Neighborhood Characteristics'!$C$3,$A22,(HLOOKUP('Inputs and Outputs'!$D$7,'Neighborhood Characteristics'!$C$3:$BJ$51,49,FALSE)),$B22,1))&gt;0,F$1/2,0))</f>
        <v>15</v>
      </c>
      <c r="G22">
        <f ca="1">IF(HLOOKUP('Inputs and Outputs'!$D$8,'Neighborhood Characteristics'!$C$3:$BJ$49,'Neighborhood Matching Prefs'!$C22+1,FALSE)&gt;0,HLOOKUP('Inputs and Outputs'!$D$8,'Neighborhood Characteristics'!$C$3:$BJ$49,'Neighborhood Matching Prefs'!$C22+1,FALSE)*G$1,IF(SUM(OFFSET('Neighborhood Characteristics'!$C$3,$A22,(HLOOKUP('Inputs and Outputs'!$D$8,'Neighborhood Characteristics'!$C$3:$BJ$51,49,FALSE)),$B22,1))&gt;0,G$1/2,0))</f>
        <v>5</v>
      </c>
      <c r="H22">
        <f ca="1">IF(HLOOKUP('Inputs and Outputs'!$D$9,'Neighborhood Characteristics'!$C$3:$BJ$49,'Neighborhood Matching Prefs'!$C22+1,FALSE)&gt;0,HLOOKUP('Inputs and Outputs'!$D$9,'Neighborhood Characteristics'!$C$3:$BJ$49,'Neighborhood Matching Prefs'!$C22+1,FALSE)*H$1,IF(SUM(OFFSET('Neighborhood Characteristics'!$C$3,$A22,(HLOOKUP('Inputs and Outputs'!$D$9,'Neighborhood Characteristics'!$C$3:$BJ$51,49,FALSE)),$B22,1))&gt;0,H$1/2,0))</f>
        <v>15</v>
      </c>
      <c r="I22">
        <f ca="1">IF(HLOOKUP('Inputs and Outputs'!$D$10,'Neighborhood Characteristics'!$C$3:$BJ$49,'Neighborhood Matching Prefs'!$C22+1,FALSE)&gt;0,HLOOKUP('Inputs and Outputs'!$D$10,'Neighborhood Characteristics'!$C$3:$BJ$49,'Neighborhood Matching Prefs'!$C22+1,FALSE)*I$1,IF(SUM(OFFSET('Neighborhood Characteristics'!$C$3,$A22,(HLOOKUP('Inputs and Outputs'!$D$10,'Neighborhood Characteristics'!$C$3:$BJ$51,49,FALSE)),$B22,1))&gt;0,I$1/2,0))</f>
        <v>0</v>
      </c>
      <c r="J22">
        <f ca="1">IF(HLOOKUP('Inputs and Outputs'!$D$11,'Neighborhood Characteristics'!$C$3:$BJ$49,'Neighborhood Matching Prefs'!$C22+1,FALSE)&gt;0,HLOOKUP('Inputs and Outputs'!$D$11,'Neighborhood Characteristics'!$C$3:$BJ$49,'Neighborhood Matching Prefs'!$C22+1,FALSE)*J$1,IF(SUM(OFFSET('Neighborhood Characteristics'!$C$3,$A22,(HLOOKUP('Inputs and Outputs'!$D$11,'Neighborhood Characteristics'!$C$3:$BJ$51,49,FALSE)),$B22,1))&gt;0,J$1/2,0))</f>
        <v>15</v>
      </c>
      <c r="K22">
        <f ca="1">IF(HLOOKUP('Inputs and Outputs'!$D$12,'Neighborhood Characteristics'!$C$3:$BJ$49,'Neighborhood Matching Prefs'!$C22+1,FALSE)&gt;0,HLOOKUP('Inputs and Outputs'!$D$12,'Neighborhood Characteristics'!$C$3:$BJ$49,'Neighborhood Matching Prefs'!$C22+1,FALSE)*K$1,IF(SUM(OFFSET('Neighborhood Characteristics'!$C$3,$A22,(HLOOKUP('Inputs and Outputs'!$D$12,'Neighborhood Characteristics'!$C$3:$BJ$51,49,FALSE)),$B22,1))&gt;0,K$1/2,0))</f>
        <v>10</v>
      </c>
      <c r="L22">
        <f ca="1">IF(HLOOKUP('Inputs and Outputs'!$D$13,'Neighborhood Characteristics'!$C$3:$BJ$49,'Neighborhood Matching Prefs'!$C22+1,FALSE)&gt;0,HLOOKUP('Inputs and Outputs'!$D$13,'Neighborhood Characteristics'!$C$3:$BJ$49,'Neighborhood Matching Prefs'!$C22+1,FALSE)*L$1,IF(SUM(OFFSET('Neighborhood Characteristics'!$C$3,$A22,(HLOOKUP('Inputs and Outputs'!$D$13,'Neighborhood Characteristics'!$C$3:$BJ$51,49,FALSE)),$B22,1))&gt;0,L$1/2,0))</f>
        <v>0</v>
      </c>
      <c r="M22">
        <f ca="1">IF(HLOOKUP('Inputs and Outputs'!$D$14,'Neighborhood Characteristics'!$C$3:$BJ$49,'Neighborhood Matching Prefs'!$C22+1,FALSE)&gt;0,HLOOKUP('Inputs and Outputs'!$D$14,'Neighborhood Characteristics'!$C$3:$BJ$49,'Neighborhood Matching Prefs'!$C22+1,FALSE)*M$1,IF(SUM(OFFSET('Neighborhood Characteristics'!$C$3,$A22,(HLOOKUP('Inputs and Outputs'!$D$14,'Neighborhood Characteristics'!$C$3:$BJ$51,49,FALSE)),$B22,1))&gt;0,M$1/2,0))</f>
        <v>0</v>
      </c>
      <c r="N22">
        <f ca="1">IF(HLOOKUP('Inputs and Outputs'!$D$15,'Neighborhood Characteristics'!$C$3:$BJ$49,'Neighborhood Matching Prefs'!$C22+1,FALSE)&gt;0,HLOOKUP('Inputs and Outputs'!$D$15,'Neighborhood Characteristics'!$C$3:$BJ$49,'Neighborhood Matching Prefs'!$C22+1,FALSE)*N$1,IF(SUM(OFFSET('Neighborhood Characteristics'!$C$3,$A22,(HLOOKUP('Inputs and Outputs'!$D$15,'Neighborhood Characteristics'!$C$3:$BJ$51,49,FALSE)),$B22,1))&gt;0,N$1/2,0))</f>
        <v>0</v>
      </c>
      <c r="O22">
        <f ca="1">IF(HLOOKUP('Inputs and Outputs'!$D$16,'Neighborhood Characteristics'!$C$3:$BJ$49,'Neighborhood Matching Prefs'!$C22+1,FALSE)&gt;0,HLOOKUP('Inputs and Outputs'!$D$16,'Neighborhood Characteristics'!$C$3:$BJ$49,'Neighborhood Matching Prefs'!$C22+1,FALSE)*O$1,IF(SUM(OFFSET('Neighborhood Characteristics'!$C$3,$A22,(HLOOKUP('Inputs and Outputs'!$D$16,'Neighborhood Characteristics'!$C$3:$BJ$51,49,FALSE)),$B22,1))&gt;0,O$1/2,0))</f>
        <v>5</v>
      </c>
      <c r="P22">
        <f ca="1">IF(HLOOKUP('Inputs and Outputs'!$D$17,'Neighborhood Characteristics'!$C$3:$BJ$49,'Neighborhood Matching Prefs'!$C22+1,FALSE)&gt;0,HLOOKUP('Inputs and Outputs'!$D$17,'Neighborhood Characteristics'!$C$3:$BJ$49,'Neighborhood Matching Prefs'!$C22+1,FALSE)*P$1,IF(SUM(OFFSET('Neighborhood Characteristics'!$C$3,$A22,(HLOOKUP('Inputs and Outputs'!$D$17,'Neighborhood Characteristics'!$C$3:$BJ$51,49,FALSE)),$B22,1))&gt;0,P$1/2,0))</f>
        <v>10</v>
      </c>
      <c r="Q22" s="78">
        <f>IFERROR(HLOOKUP(D22,'Commuter Model'!$C$12:$AS$61,50,FALSE),0)*$Q$1</f>
        <v>20</v>
      </c>
      <c r="R22">
        <f t="shared" ca="1" si="0"/>
        <v>100</v>
      </c>
      <c r="S22">
        <f t="shared" ca="1" si="1"/>
        <v>13</v>
      </c>
      <c r="T22">
        <f ca="1">IF(COUNTIF($S$2:S21,S22)&gt;0,COUNTIF($S$2:S21,S22)+S22,S22)</f>
        <v>13</v>
      </c>
      <c r="U22" t="s">
        <v>59</v>
      </c>
    </row>
    <row r="23" spans="1:21">
      <c r="A23">
        <v>20</v>
      </c>
      <c r="B23">
        <v>2</v>
      </c>
      <c r="C23">
        <f t="shared" si="2"/>
        <v>20</v>
      </c>
      <c r="D23" s="12" t="s">
        <v>60</v>
      </c>
      <c r="E23">
        <f ca="1">IF(HLOOKUP('Inputs and Outputs'!$D$6,'Neighborhood Characteristics'!$C$3:$BJ$49,'Neighborhood Matching Prefs'!$C23+1,FALSE)&gt;0,HLOOKUP('Inputs and Outputs'!$D$6,'Neighborhood Characteristics'!$C$3:$BJ$49,'Neighborhood Matching Prefs'!$C23+1,FALSE)*E$1,IF(SUM(OFFSET('Neighborhood Characteristics'!$C$3,$A23,(HLOOKUP('Inputs and Outputs'!$D$6,'Neighborhood Characteristics'!$C$3:$BJ$51,49,FALSE)),$B23,1))&gt;0,E$1/2,0))</f>
        <v>10</v>
      </c>
      <c r="F23">
        <f ca="1">IF(HLOOKUP('Inputs and Outputs'!$D$7,'Neighborhood Characteristics'!$C$3:$BJ$49,'Neighborhood Matching Prefs'!$C23+1,FALSE)&gt;0,HLOOKUP('Inputs and Outputs'!$D$7,'Neighborhood Characteristics'!$C$3:$BJ$49,'Neighborhood Matching Prefs'!$C23+1,FALSE)*F$1,IF(SUM(OFFSET('Neighborhood Characteristics'!$C$3,$A23,(HLOOKUP('Inputs and Outputs'!$D$7,'Neighborhood Characteristics'!$C$3:$BJ$51,49,FALSE)),$B23,1))&gt;0,F$1/2,0))</f>
        <v>15</v>
      </c>
      <c r="G23">
        <f ca="1">IF(HLOOKUP('Inputs and Outputs'!$D$8,'Neighborhood Characteristics'!$C$3:$BJ$49,'Neighborhood Matching Prefs'!$C23+1,FALSE)&gt;0,HLOOKUP('Inputs and Outputs'!$D$8,'Neighborhood Characteristics'!$C$3:$BJ$49,'Neighborhood Matching Prefs'!$C23+1,FALSE)*G$1,IF(SUM(OFFSET('Neighborhood Characteristics'!$C$3,$A23,(HLOOKUP('Inputs and Outputs'!$D$8,'Neighborhood Characteristics'!$C$3:$BJ$51,49,FALSE)),$B23,1))&gt;0,G$1/2,0))</f>
        <v>5</v>
      </c>
      <c r="H23">
        <f ca="1">IF(HLOOKUP('Inputs and Outputs'!$D$9,'Neighborhood Characteristics'!$C$3:$BJ$49,'Neighborhood Matching Prefs'!$C23+1,FALSE)&gt;0,HLOOKUP('Inputs and Outputs'!$D$9,'Neighborhood Characteristics'!$C$3:$BJ$49,'Neighborhood Matching Prefs'!$C23+1,FALSE)*H$1,IF(SUM(OFFSET('Neighborhood Characteristics'!$C$3,$A23,(HLOOKUP('Inputs and Outputs'!$D$9,'Neighborhood Characteristics'!$C$3:$BJ$51,49,FALSE)),$B23,1))&gt;0,H$1/2,0))</f>
        <v>15</v>
      </c>
      <c r="I23">
        <f ca="1">IF(HLOOKUP('Inputs and Outputs'!$D$10,'Neighborhood Characteristics'!$C$3:$BJ$49,'Neighborhood Matching Prefs'!$C23+1,FALSE)&gt;0,HLOOKUP('Inputs and Outputs'!$D$10,'Neighborhood Characteristics'!$C$3:$BJ$49,'Neighborhood Matching Prefs'!$C23+1,FALSE)*I$1,IF(SUM(OFFSET('Neighborhood Characteristics'!$C$3,$A23,(HLOOKUP('Inputs and Outputs'!$D$10,'Neighborhood Characteristics'!$C$3:$BJ$51,49,FALSE)),$B23,1))&gt;0,I$1/2,0))</f>
        <v>0</v>
      </c>
      <c r="J23">
        <f ca="1">IF(HLOOKUP('Inputs and Outputs'!$D$11,'Neighborhood Characteristics'!$C$3:$BJ$49,'Neighborhood Matching Prefs'!$C23+1,FALSE)&gt;0,HLOOKUP('Inputs and Outputs'!$D$11,'Neighborhood Characteristics'!$C$3:$BJ$49,'Neighborhood Matching Prefs'!$C23+1,FALSE)*J$1,IF(SUM(OFFSET('Neighborhood Characteristics'!$C$3,$A23,(HLOOKUP('Inputs and Outputs'!$D$11,'Neighborhood Characteristics'!$C$3:$BJ$51,49,FALSE)),$B23,1))&gt;0,J$1/2,0))</f>
        <v>15</v>
      </c>
      <c r="K23">
        <f ca="1">IF(HLOOKUP('Inputs and Outputs'!$D$12,'Neighborhood Characteristics'!$C$3:$BJ$49,'Neighborhood Matching Prefs'!$C23+1,FALSE)&gt;0,HLOOKUP('Inputs and Outputs'!$D$12,'Neighborhood Characteristics'!$C$3:$BJ$49,'Neighborhood Matching Prefs'!$C23+1,FALSE)*K$1,IF(SUM(OFFSET('Neighborhood Characteristics'!$C$3,$A23,(HLOOKUP('Inputs and Outputs'!$D$12,'Neighborhood Characteristics'!$C$3:$BJ$51,49,FALSE)),$B23,1))&gt;0,K$1/2,0))</f>
        <v>0</v>
      </c>
      <c r="L23">
        <f ca="1">IF(HLOOKUP('Inputs and Outputs'!$D$13,'Neighborhood Characteristics'!$C$3:$BJ$49,'Neighborhood Matching Prefs'!$C23+1,FALSE)&gt;0,HLOOKUP('Inputs and Outputs'!$D$13,'Neighborhood Characteristics'!$C$3:$BJ$49,'Neighborhood Matching Prefs'!$C23+1,FALSE)*L$1,IF(SUM(OFFSET('Neighborhood Characteristics'!$C$3,$A23,(HLOOKUP('Inputs and Outputs'!$D$13,'Neighborhood Characteristics'!$C$3:$BJ$51,49,FALSE)),$B23,1))&gt;0,L$1/2,0))</f>
        <v>0</v>
      </c>
      <c r="M23">
        <f ca="1">IF(HLOOKUP('Inputs and Outputs'!$D$14,'Neighborhood Characteristics'!$C$3:$BJ$49,'Neighborhood Matching Prefs'!$C23+1,FALSE)&gt;0,HLOOKUP('Inputs and Outputs'!$D$14,'Neighborhood Characteristics'!$C$3:$BJ$49,'Neighborhood Matching Prefs'!$C23+1,FALSE)*M$1,IF(SUM(OFFSET('Neighborhood Characteristics'!$C$3,$A23,(HLOOKUP('Inputs and Outputs'!$D$14,'Neighborhood Characteristics'!$C$3:$BJ$51,49,FALSE)),$B23,1))&gt;0,M$1/2,0))</f>
        <v>0</v>
      </c>
      <c r="N23">
        <f ca="1">IF(HLOOKUP('Inputs and Outputs'!$D$15,'Neighborhood Characteristics'!$C$3:$BJ$49,'Neighborhood Matching Prefs'!$C23+1,FALSE)&gt;0,HLOOKUP('Inputs and Outputs'!$D$15,'Neighborhood Characteristics'!$C$3:$BJ$49,'Neighborhood Matching Prefs'!$C23+1,FALSE)*N$1,IF(SUM(OFFSET('Neighborhood Characteristics'!$C$3,$A23,(HLOOKUP('Inputs and Outputs'!$D$15,'Neighborhood Characteristics'!$C$3:$BJ$51,49,FALSE)),$B23,1))&gt;0,N$1/2,0))</f>
        <v>0</v>
      </c>
      <c r="O23">
        <f ca="1">IF(HLOOKUP('Inputs and Outputs'!$D$16,'Neighborhood Characteristics'!$C$3:$BJ$49,'Neighborhood Matching Prefs'!$C23+1,FALSE)&gt;0,HLOOKUP('Inputs and Outputs'!$D$16,'Neighborhood Characteristics'!$C$3:$BJ$49,'Neighborhood Matching Prefs'!$C23+1,FALSE)*O$1,IF(SUM(OFFSET('Neighborhood Characteristics'!$C$3,$A23,(HLOOKUP('Inputs and Outputs'!$D$16,'Neighborhood Characteristics'!$C$3:$BJ$51,49,FALSE)),$B23,1))&gt;0,O$1/2,0))</f>
        <v>10</v>
      </c>
      <c r="P23">
        <f ca="1">IF(HLOOKUP('Inputs and Outputs'!$D$17,'Neighborhood Characteristics'!$C$3:$BJ$49,'Neighborhood Matching Prefs'!$C23+1,FALSE)&gt;0,HLOOKUP('Inputs and Outputs'!$D$17,'Neighborhood Characteristics'!$C$3:$BJ$49,'Neighborhood Matching Prefs'!$C23+1,FALSE)*P$1,IF(SUM(OFFSET('Neighborhood Characteristics'!$C$3,$A23,(HLOOKUP('Inputs and Outputs'!$D$17,'Neighborhood Characteristics'!$C$3:$BJ$51,49,FALSE)),$B23,1))&gt;0,P$1/2,0))</f>
        <v>10</v>
      </c>
      <c r="Q23" s="78">
        <f>IFERROR(HLOOKUP(D23,'Commuter Model'!$C$12:$AS$61,50,FALSE),0)*$Q$1</f>
        <v>14.999999999999998</v>
      </c>
      <c r="R23">
        <f t="shared" ca="1" si="0"/>
        <v>95</v>
      </c>
      <c r="S23">
        <f t="shared" ca="1" si="1"/>
        <v>14</v>
      </c>
      <c r="T23">
        <f ca="1">IF(COUNTIF($S$2:S22,S23)&gt;0,COUNTIF($S$2:S22,S23)+S23,S23)</f>
        <v>14</v>
      </c>
      <c r="U23" t="s">
        <v>60</v>
      </c>
    </row>
    <row r="24" spans="1:21">
      <c r="A24">
        <v>20</v>
      </c>
      <c r="B24">
        <v>2</v>
      </c>
      <c r="C24">
        <f t="shared" si="2"/>
        <v>21</v>
      </c>
      <c r="D24" s="12" t="s">
        <v>158</v>
      </c>
      <c r="E24">
        <f ca="1">IF(HLOOKUP('Inputs and Outputs'!$D$6,'Neighborhood Characteristics'!$C$3:$BJ$49,'Neighborhood Matching Prefs'!$C24+1,FALSE)&gt;0,HLOOKUP('Inputs and Outputs'!$D$6,'Neighborhood Characteristics'!$C$3:$BJ$49,'Neighborhood Matching Prefs'!$C24+1,FALSE)*E$1,IF(SUM(OFFSET('Neighborhood Characteristics'!$C$3,$A24,(HLOOKUP('Inputs and Outputs'!$D$6,'Neighborhood Characteristics'!$C$3:$BJ$51,49,FALSE)),$B24,1))&gt;0,E$1/2,0))</f>
        <v>5</v>
      </c>
      <c r="F24">
        <f ca="1">IF(HLOOKUP('Inputs and Outputs'!$D$7,'Neighborhood Characteristics'!$C$3:$BJ$49,'Neighborhood Matching Prefs'!$C24+1,FALSE)&gt;0,HLOOKUP('Inputs and Outputs'!$D$7,'Neighborhood Characteristics'!$C$3:$BJ$49,'Neighborhood Matching Prefs'!$C24+1,FALSE)*F$1,IF(SUM(OFFSET('Neighborhood Characteristics'!$C$3,$A24,(HLOOKUP('Inputs and Outputs'!$D$7,'Neighborhood Characteristics'!$C$3:$BJ$51,49,FALSE)),$B24,1))&gt;0,F$1/2,0))</f>
        <v>7.5</v>
      </c>
      <c r="G24">
        <f ca="1">IF(HLOOKUP('Inputs and Outputs'!$D$8,'Neighborhood Characteristics'!$C$3:$BJ$49,'Neighborhood Matching Prefs'!$C24+1,FALSE)&gt;0,HLOOKUP('Inputs and Outputs'!$D$8,'Neighborhood Characteristics'!$C$3:$BJ$49,'Neighborhood Matching Prefs'!$C24+1,FALSE)*G$1,IF(SUM(OFFSET('Neighborhood Characteristics'!$C$3,$A24,(HLOOKUP('Inputs and Outputs'!$D$8,'Neighborhood Characteristics'!$C$3:$BJ$51,49,FALSE)),$B24,1))&gt;0,G$1/2,0))</f>
        <v>20</v>
      </c>
      <c r="H24">
        <f ca="1">IF(HLOOKUP('Inputs and Outputs'!$D$9,'Neighborhood Characteristics'!$C$3:$BJ$49,'Neighborhood Matching Prefs'!$C24+1,FALSE)&gt;0,HLOOKUP('Inputs and Outputs'!$D$9,'Neighborhood Characteristics'!$C$3:$BJ$49,'Neighborhood Matching Prefs'!$C24+1,FALSE)*H$1,IF(SUM(OFFSET('Neighborhood Characteristics'!$C$3,$A24,(HLOOKUP('Inputs and Outputs'!$D$9,'Neighborhood Characteristics'!$C$3:$BJ$51,49,FALSE)),$B24,1))&gt;0,H$1/2,0))</f>
        <v>15</v>
      </c>
      <c r="I24">
        <f ca="1">IF(HLOOKUP('Inputs and Outputs'!$D$10,'Neighborhood Characteristics'!$C$3:$BJ$49,'Neighborhood Matching Prefs'!$C24+1,FALSE)&gt;0,HLOOKUP('Inputs and Outputs'!$D$10,'Neighborhood Characteristics'!$C$3:$BJ$49,'Neighborhood Matching Prefs'!$C24+1,FALSE)*I$1,IF(SUM(OFFSET('Neighborhood Characteristics'!$C$3,$A24,(HLOOKUP('Inputs and Outputs'!$D$10,'Neighborhood Characteristics'!$C$3:$BJ$51,49,FALSE)),$B24,1))&gt;0,I$1/2,0))</f>
        <v>0</v>
      </c>
      <c r="J24">
        <f ca="1">IF(HLOOKUP('Inputs and Outputs'!$D$11,'Neighborhood Characteristics'!$C$3:$BJ$49,'Neighborhood Matching Prefs'!$C24+1,FALSE)&gt;0,HLOOKUP('Inputs and Outputs'!$D$11,'Neighborhood Characteristics'!$C$3:$BJ$49,'Neighborhood Matching Prefs'!$C24+1,FALSE)*J$1,IF(SUM(OFFSET('Neighborhood Characteristics'!$C$3,$A24,(HLOOKUP('Inputs and Outputs'!$D$11,'Neighborhood Characteristics'!$C$3:$BJ$51,49,FALSE)),$B24,1))&gt;0,J$1/2,0))</f>
        <v>15</v>
      </c>
      <c r="K24">
        <f ca="1">IF(HLOOKUP('Inputs and Outputs'!$D$12,'Neighborhood Characteristics'!$C$3:$BJ$49,'Neighborhood Matching Prefs'!$C24+1,FALSE)&gt;0,HLOOKUP('Inputs and Outputs'!$D$12,'Neighborhood Characteristics'!$C$3:$BJ$49,'Neighborhood Matching Prefs'!$C24+1,FALSE)*K$1,IF(SUM(OFFSET('Neighborhood Characteristics'!$C$3,$A24,(HLOOKUP('Inputs and Outputs'!$D$12,'Neighborhood Characteristics'!$C$3:$BJ$51,49,FALSE)),$B24,1))&gt;0,K$1/2,0))</f>
        <v>0</v>
      </c>
      <c r="L24">
        <f ca="1">IF(HLOOKUP('Inputs and Outputs'!$D$13,'Neighborhood Characteristics'!$C$3:$BJ$49,'Neighborhood Matching Prefs'!$C24+1,FALSE)&gt;0,HLOOKUP('Inputs and Outputs'!$D$13,'Neighborhood Characteristics'!$C$3:$BJ$49,'Neighborhood Matching Prefs'!$C24+1,FALSE)*L$1,IF(SUM(OFFSET('Neighborhood Characteristics'!$C$3,$A24,(HLOOKUP('Inputs and Outputs'!$D$13,'Neighborhood Characteristics'!$C$3:$BJ$51,49,FALSE)),$B24,1))&gt;0,L$1/2,0))</f>
        <v>0</v>
      </c>
      <c r="M24">
        <f ca="1">IF(HLOOKUP('Inputs and Outputs'!$D$14,'Neighborhood Characteristics'!$C$3:$BJ$49,'Neighborhood Matching Prefs'!$C24+1,FALSE)&gt;0,HLOOKUP('Inputs and Outputs'!$D$14,'Neighborhood Characteristics'!$C$3:$BJ$49,'Neighborhood Matching Prefs'!$C24+1,FALSE)*M$1,IF(SUM(OFFSET('Neighborhood Characteristics'!$C$3,$A24,(HLOOKUP('Inputs and Outputs'!$D$14,'Neighborhood Characteristics'!$C$3:$BJ$51,49,FALSE)),$B24,1))&gt;0,M$1/2,0))</f>
        <v>0</v>
      </c>
      <c r="N24">
        <f ca="1">IF(HLOOKUP('Inputs and Outputs'!$D$15,'Neighborhood Characteristics'!$C$3:$BJ$49,'Neighborhood Matching Prefs'!$C24+1,FALSE)&gt;0,HLOOKUP('Inputs and Outputs'!$D$15,'Neighborhood Characteristics'!$C$3:$BJ$49,'Neighborhood Matching Prefs'!$C24+1,FALSE)*N$1,IF(SUM(OFFSET('Neighborhood Characteristics'!$C$3,$A24,(HLOOKUP('Inputs and Outputs'!$D$15,'Neighborhood Characteristics'!$C$3:$BJ$51,49,FALSE)),$B24,1))&gt;0,N$1/2,0))</f>
        <v>0</v>
      </c>
      <c r="O24">
        <f ca="1">IF(HLOOKUP('Inputs and Outputs'!$D$16,'Neighborhood Characteristics'!$C$3:$BJ$49,'Neighborhood Matching Prefs'!$C24+1,FALSE)&gt;0,HLOOKUP('Inputs and Outputs'!$D$16,'Neighborhood Characteristics'!$C$3:$BJ$49,'Neighborhood Matching Prefs'!$C24+1,FALSE)*O$1,IF(SUM(OFFSET('Neighborhood Characteristics'!$C$3,$A24,(HLOOKUP('Inputs and Outputs'!$D$16,'Neighborhood Characteristics'!$C$3:$BJ$51,49,FALSE)),$B24,1))&gt;0,O$1/2,0))</f>
        <v>10</v>
      </c>
      <c r="P24">
        <f ca="1">IF(HLOOKUP('Inputs and Outputs'!$D$17,'Neighborhood Characteristics'!$C$3:$BJ$49,'Neighborhood Matching Prefs'!$C24+1,FALSE)&gt;0,HLOOKUP('Inputs and Outputs'!$D$17,'Neighborhood Characteristics'!$C$3:$BJ$49,'Neighborhood Matching Prefs'!$C24+1,FALSE)*P$1,IF(SUM(OFFSET('Neighborhood Characteristics'!$C$3,$A24,(HLOOKUP('Inputs and Outputs'!$D$17,'Neighborhood Characteristics'!$C$3:$BJ$51,49,FALSE)),$B24,1))&gt;0,P$1/2,0))</f>
        <v>10</v>
      </c>
      <c r="Q24" s="78">
        <f>IFERROR(HLOOKUP(D24,'Commuter Model'!$C$12:$AS$61,50,FALSE),0)*$Q$1</f>
        <v>18.5</v>
      </c>
      <c r="R24">
        <f t="shared" ca="1" si="0"/>
        <v>101</v>
      </c>
      <c r="S24">
        <f t="shared" ca="1" si="1"/>
        <v>12</v>
      </c>
      <c r="T24">
        <f ca="1">IF(COUNTIF($S$2:S23,S24)&gt;0,COUNTIF($S$2:S23,S24)+S24,S24)</f>
        <v>12</v>
      </c>
      <c r="U24" t="s">
        <v>158</v>
      </c>
    </row>
    <row r="25" spans="1:21">
      <c r="A25">
        <v>22</v>
      </c>
      <c r="B25">
        <v>5</v>
      </c>
      <c r="C25">
        <f t="shared" si="2"/>
        <v>22</v>
      </c>
      <c r="D25" s="11" t="s">
        <v>159</v>
      </c>
      <c r="E25">
        <f ca="1">IF(HLOOKUP('Inputs and Outputs'!$D$6,'Neighborhood Characteristics'!$C$3:$BJ$49,'Neighborhood Matching Prefs'!$C25+1,FALSE)&gt;0,HLOOKUP('Inputs and Outputs'!$D$6,'Neighborhood Characteristics'!$C$3:$BJ$49,'Neighborhood Matching Prefs'!$C25+1,FALSE)*E$1,IF(SUM(OFFSET('Neighborhood Characteristics'!$C$3,$A25,(HLOOKUP('Inputs and Outputs'!$D$6,'Neighborhood Characteristics'!$C$3:$BJ$51,49,FALSE)),$B25,1))&gt;0,E$1/2,0))</f>
        <v>0</v>
      </c>
      <c r="F25">
        <f ca="1">IF(HLOOKUP('Inputs and Outputs'!$D$7,'Neighborhood Characteristics'!$C$3:$BJ$49,'Neighborhood Matching Prefs'!$C25+1,FALSE)&gt;0,HLOOKUP('Inputs and Outputs'!$D$7,'Neighborhood Characteristics'!$C$3:$BJ$49,'Neighborhood Matching Prefs'!$C25+1,FALSE)*F$1,IF(SUM(OFFSET('Neighborhood Characteristics'!$C$3,$A25,(HLOOKUP('Inputs and Outputs'!$D$7,'Neighborhood Characteristics'!$C$3:$BJ$51,49,FALSE)),$B25,1))&gt;0,F$1/2,0))</f>
        <v>0</v>
      </c>
      <c r="G25">
        <f ca="1">IF(HLOOKUP('Inputs and Outputs'!$D$8,'Neighborhood Characteristics'!$C$3:$BJ$49,'Neighborhood Matching Prefs'!$C25+1,FALSE)&gt;0,HLOOKUP('Inputs and Outputs'!$D$8,'Neighborhood Characteristics'!$C$3:$BJ$49,'Neighborhood Matching Prefs'!$C25+1,FALSE)*G$1,IF(SUM(OFFSET('Neighborhood Characteristics'!$C$3,$A25,(HLOOKUP('Inputs and Outputs'!$D$8,'Neighborhood Characteristics'!$C$3:$BJ$51,49,FALSE)),$B25,1))&gt;0,G$1/2,0))</f>
        <v>10</v>
      </c>
      <c r="H25">
        <f ca="1">IF(HLOOKUP('Inputs and Outputs'!$D$9,'Neighborhood Characteristics'!$C$3:$BJ$49,'Neighborhood Matching Prefs'!$C25+1,FALSE)&gt;0,HLOOKUP('Inputs and Outputs'!$D$9,'Neighborhood Characteristics'!$C$3:$BJ$49,'Neighborhood Matching Prefs'!$C25+1,FALSE)*H$1,IF(SUM(OFFSET('Neighborhood Characteristics'!$C$3,$A25,(HLOOKUP('Inputs and Outputs'!$D$9,'Neighborhood Characteristics'!$C$3:$BJ$51,49,FALSE)),$B25,1))&gt;0,H$1/2,0))</f>
        <v>15</v>
      </c>
      <c r="I25">
        <f ca="1">IF(HLOOKUP('Inputs and Outputs'!$D$10,'Neighborhood Characteristics'!$C$3:$BJ$49,'Neighborhood Matching Prefs'!$C25+1,FALSE)&gt;0,HLOOKUP('Inputs and Outputs'!$D$10,'Neighborhood Characteristics'!$C$3:$BJ$49,'Neighborhood Matching Prefs'!$C25+1,FALSE)*I$1,IF(SUM(OFFSET('Neighborhood Characteristics'!$C$3,$A25,(HLOOKUP('Inputs and Outputs'!$D$10,'Neighborhood Characteristics'!$C$3:$BJ$51,49,FALSE)),$B25,1))&gt;0,I$1/2,0))</f>
        <v>0</v>
      </c>
      <c r="J25">
        <f ca="1">IF(HLOOKUP('Inputs and Outputs'!$D$11,'Neighborhood Characteristics'!$C$3:$BJ$49,'Neighborhood Matching Prefs'!$C25+1,FALSE)&gt;0,HLOOKUP('Inputs and Outputs'!$D$11,'Neighborhood Characteristics'!$C$3:$BJ$49,'Neighborhood Matching Prefs'!$C25+1,FALSE)*J$1,IF(SUM(OFFSET('Neighborhood Characteristics'!$C$3,$A25,(HLOOKUP('Inputs and Outputs'!$D$11,'Neighborhood Characteristics'!$C$3:$BJ$51,49,FALSE)),$B25,1))&gt;0,J$1/2,0))</f>
        <v>15</v>
      </c>
      <c r="K25">
        <f ca="1">IF(HLOOKUP('Inputs and Outputs'!$D$12,'Neighborhood Characteristics'!$C$3:$BJ$49,'Neighborhood Matching Prefs'!$C25+1,FALSE)&gt;0,HLOOKUP('Inputs and Outputs'!$D$12,'Neighborhood Characteristics'!$C$3:$BJ$49,'Neighborhood Matching Prefs'!$C25+1,FALSE)*K$1,IF(SUM(OFFSET('Neighborhood Characteristics'!$C$3,$A25,(HLOOKUP('Inputs and Outputs'!$D$12,'Neighborhood Characteristics'!$C$3:$BJ$51,49,FALSE)),$B25,1))&gt;0,K$1/2,0))</f>
        <v>0</v>
      </c>
      <c r="L25">
        <f ca="1">IF(HLOOKUP('Inputs and Outputs'!$D$13,'Neighborhood Characteristics'!$C$3:$BJ$49,'Neighborhood Matching Prefs'!$C25+1,FALSE)&gt;0,HLOOKUP('Inputs and Outputs'!$D$13,'Neighborhood Characteristics'!$C$3:$BJ$49,'Neighborhood Matching Prefs'!$C25+1,FALSE)*L$1,IF(SUM(OFFSET('Neighborhood Characteristics'!$C$3,$A25,(HLOOKUP('Inputs and Outputs'!$D$13,'Neighborhood Characteristics'!$C$3:$BJ$51,49,FALSE)),$B25,1))&gt;0,L$1/2,0))</f>
        <v>5</v>
      </c>
      <c r="M25">
        <f ca="1">IF(HLOOKUP('Inputs and Outputs'!$D$14,'Neighborhood Characteristics'!$C$3:$BJ$49,'Neighborhood Matching Prefs'!$C25+1,FALSE)&gt;0,HLOOKUP('Inputs and Outputs'!$D$14,'Neighborhood Characteristics'!$C$3:$BJ$49,'Neighborhood Matching Prefs'!$C25+1,FALSE)*M$1,IF(SUM(OFFSET('Neighborhood Characteristics'!$C$3,$A25,(HLOOKUP('Inputs and Outputs'!$D$14,'Neighborhood Characteristics'!$C$3:$BJ$51,49,FALSE)),$B25,1))&gt;0,M$1/2,0))</f>
        <v>0</v>
      </c>
      <c r="N25">
        <f ca="1">IF(HLOOKUP('Inputs and Outputs'!$D$15,'Neighborhood Characteristics'!$C$3:$BJ$49,'Neighborhood Matching Prefs'!$C25+1,FALSE)&gt;0,HLOOKUP('Inputs and Outputs'!$D$15,'Neighborhood Characteristics'!$C$3:$BJ$49,'Neighborhood Matching Prefs'!$C25+1,FALSE)*N$1,IF(SUM(OFFSET('Neighborhood Characteristics'!$C$3,$A25,(HLOOKUP('Inputs and Outputs'!$D$15,'Neighborhood Characteristics'!$C$3:$BJ$51,49,FALSE)),$B25,1))&gt;0,N$1/2,0))</f>
        <v>0</v>
      </c>
      <c r="O25">
        <f ca="1">IF(HLOOKUP('Inputs and Outputs'!$D$16,'Neighborhood Characteristics'!$C$3:$BJ$49,'Neighborhood Matching Prefs'!$C25+1,FALSE)&gt;0,HLOOKUP('Inputs and Outputs'!$D$16,'Neighborhood Characteristics'!$C$3:$BJ$49,'Neighborhood Matching Prefs'!$C25+1,FALSE)*O$1,IF(SUM(OFFSET('Neighborhood Characteristics'!$C$3,$A25,(HLOOKUP('Inputs and Outputs'!$D$16,'Neighborhood Characteristics'!$C$3:$BJ$51,49,FALSE)),$B25,1))&gt;0,O$1/2,0))</f>
        <v>10</v>
      </c>
      <c r="P25">
        <f ca="1">IF(HLOOKUP('Inputs and Outputs'!$D$17,'Neighborhood Characteristics'!$C$3:$BJ$49,'Neighborhood Matching Prefs'!$C25+1,FALSE)&gt;0,HLOOKUP('Inputs and Outputs'!$D$17,'Neighborhood Characteristics'!$C$3:$BJ$49,'Neighborhood Matching Prefs'!$C25+1,FALSE)*P$1,IF(SUM(OFFSET('Neighborhood Characteristics'!$C$3,$A25,(HLOOKUP('Inputs and Outputs'!$D$17,'Neighborhood Characteristics'!$C$3:$BJ$51,49,FALSE)),$B25,1))&gt;0,P$1/2,0))</f>
        <v>10</v>
      </c>
      <c r="Q25" s="78">
        <f>IFERROR(HLOOKUP(D25,'Commuter Model'!$C$12:$AS$61,50,FALSE),0)*$Q$1</f>
        <v>20</v>
      </c>
      <c r="R25">
        <f t="shared" ca="1" si="0"/>
        <v>85</v>
      </c>
      <c r="S25">
        <f t="shared" ca="1" si="1"/>
        <v>26</v>
      </c>
      <c r="T25">
        <f ca="1">IF(COUNTIF($S$2:S24,S25)&gt;0,COUNTIF($S$2:S24,S25)+S25,S25)</f>
        <v>27</v>
      </c>
      <c r="U25" t="s">
        <v>159</v>
      </c>
    </row>
    <row r="26" spans="1:21">
      <c r="A26">
        <v>22</v>
      </c>
      <c r="B26">
        <v>5</v>
      </c>
      <c r="C26">
        <f t="shared" si="2"/>
        <v>23</v>
      </c>
      <c r="D26" s="11" t="s">
        <v>1</v>
      </c>
      <c r="E26">
        <f ca="1">IF(HLOOKUP('Inputs and Outputs'!$D$6,'Neighborhood Characteristics'!$C$3:$BJ$49,'Neighborhood Matching Prefs'!$C26+1,FALSE)&gt;0,HLOOKUP('Inputs and Outputs'!$D$6,'Neighborhood Characteristics'!$C$3:$BJ$49,'Neighborhood Matching Prefs'!$C26+1,FALSE)*E$1,IF(SUM(OFFSET('Neighborhood Characteristics'!$C$3,$A26,(HLOOKUP('Inputs and Outputs'!$D$6,'Neighborhood Characteristics'!$C$3:$BJ$51,49,FALSE)),$B26,1))&gt;0,E$1/2,0))</f>
        <v>0</v>
      </c>
      <c r="F26">
        <f ca="1">IF(HLOOKUP('Inputs and Outputs'!$D$7,'Neighborhood Characteristics'!$C$3:$BJ$49,'Neighborhood Matching Prefs'!$C26+1,FALSE)&gt;0,HLOOKUP('Inputs and Outputs'!$D$7,'Neighborhood Characteristics'!$C$3:$BJ$49,'Neighborhood Matching Prefs'!$C26+1,FALSE)*F$1,IF(SUM(OFFSET('Neighborhood Characteristics'!$C$3,$A26,(HLOOKUP('Inputs and Outputs'!$D$7,'Neighborhood Characteristics'!$C$3:$BJ$51,49,FALSE)),$B26,1))&gt;0,F$1/2,0))</f>
        <v>0</v>
      </c>
      <c r="G26">
        <f ca="1">IF(HLOOKUP('Inputs and Outputs'!$D$8,'Neighborhood Characteristics'!$C$3:$BJ$49,'Neighborhood Matching Prefs'!$C26+1,FALSE)&gt;0,HLOOKUP('Inputs and Outputs'!$D$8,'Neighborhood Characteristics'!$C$3:$BJ$49,'Neighborhood Matching Prefs'!$C26+1,FALSE)*G$1,IF(SUM(OFFSET('Neighborhood Characteristics'!$C$3,$A26,(HLOOKUP('Inputs and Outputs'!$D$8,'Neighborhood Characteristics'!$C$3:$BJ$51,49,FALSE)),$B26,1))&gt;0,G$1/2,0))</f>
        <v>5</v>
      </c>
      <c r="H26">
        <f ca="1">IF(HLOOKUP('Inputs and Outputs'!$D$9,'Neighborhood Characteristics'!$C$3:$BJ$49,'Neighborhood Matching Prefs'!$C26+1,FALSE)&gt;0,HLOOKUP('Inputs and Outputs'!$D$9,'Neighborhood Characteristics'!$C$3:$BJ$49,'Neighborhood Matching Prefs'!$C26+1,FALSE)*H$1,IF(SUM(OFFSET('Neighborhood Characteristics'!$C$3,$A26,(HLOOKUP('Inputs and Outputs'!$D$9,'Neighborhood Characteristics'!$C$3:$BJ$51,49,FALSE)),$B26,1))&gt;0,H$1/2,0))</f>
        <v>30</v>
      </c>
      <c r="I26">
        <f ca="1">IF(HLOOKUP('Inputs and Outputs'!$D$10,'Neighborhood Characteristics'!$C$3:$BJ$49,'Neighborhood Matching Prefs'!$C26+1,FALSE)&gt;0,HLOOKUP('Inputs and Outputs'!$D$10,'Neighborhood Characteristics'!$C$3:$BJ$49,'Neighborhood Matching Prefs'!$C26+1,FALSE)*I$1,IF(SUM(OFFSET('Neighborhood Characteristics'!$C$3,$A26,(HLOOKUP('Inputs and Outputs'!$D$10,'Neighborhood Characteristics'!$C$3:$BJ$51,49,FALSE)),$B26,1))&gt;0,I$1/2,0))</f>
        <v>0</v>
      </c>
      <c r="J26">
        <f ca="1">IF(HLOOKUP('Inputs and Outputs'!$D$11,'Neighborhood Characteristics'!$C$3:$BJ$49,'Neighborhood Matching Prefs'!$C26+1,FALSE)&gt;0,HLOOKUP('Inputs and Outputs'!$D$11,'Neighborhood Characteristics'!$C$3:$BJ$49,'Neighborhood Matching Prefs'!$C26+1,FALSE)*J$1,IF(SUM(OFFSET('Neighborhood Characteristics'!$C$3,$A26,(HLOOKUP('Inputs and Outputs'!$D$11,'Neighborhood Characteristics'!$C$3:$BJ$51,49,FALSE)),$B26,1))&gt;0,J$1/2,0))</f>
        <v>7.5</v>
      </c>
      <c r="K26">
        <f ca="1">IF(HLOOKUP('Inputs and Outputs'!$D$12,'Neighborhood Characteristics'!$C$3:$BJ$49,'Neighborhood Matching Prefs'!$C26+1,FALSE)&gt;0,HLOOKUP('Inputs and Outputs'!$D$12,'Neighborhood Characteristics'!$C$3:$BJ$49,'Neighborhood Matching Prefs'!$C26+1,FALSE)*K$1,IF(SUM(OFFSET('Neighborhood Characteristics'!$C$3,$A26,(HLOOKUP('Inputs and Outputs'!$D$12,'Neighborhood Characteristics'!$C$3:$BJ$51,49,FALSE)),$B26,1))&gt;0,K$1/2,0))</f>
        <v>0</v>
      </c>
      <c r="L26">
        <f ca="1">IF(HLOOKUP('Inputs and Outputs'!$D$13,'Neighborhood Characteristics'!$C$3:$BJ$49,'Neighborhood Matching Prefs'!$C26+1,FALSE)&gt;0,HLOOKUP('Inputs and Outputs'!$D$13,'Neighborhood Characteristics'!$C$3:$BJ$49,'Neighborhood Matching Prefs'!$C26+1,FALSE)*L$1,IF(SUM(OFFSET('Neighborhood Characteristics'!$C$3,$A26,(HLOOKUP('Inputs and Outputs'!$D$13,'Neighborhood Characteristics'!$C$3:$BJ$51,49,FALSE)),$B26,1))&gt;0,L$1/2,0))</f>
        <v>5</v>
      </c>
      <c r="M26">
        <f ca="1">IF(HLOOKUP('Inputs and Outputs'!$D$14,'Neighborhood Characteristics'!$C$3:$BJ$49,'Neighborhood Matching Prefs'!$C26+1,FALSE)&gt;0,HLOOKUP('Inputs and Outputs'!$D$14,'Neighborhood Characteristics'!$C$3:$BJ$49,'Neighborhood Matching Prefs'!$C26+1,FALSE)*M$1,IF(SUM(OFFSET('Neighborhood Characteristics'!$C$3,$A26,(HLOOKUP('Inputs and Outputs'!$D$14,'Neighborhood Characteristics'!$C$3:$BJ$51,49,FALSE)),$B26,1))&gt;0,M$1/2,0))</f>
        <v>0</v>
      </c>
      <c r="N26">
        <f ca="1">IF(HLOOKUP('Inputs and Outputs'!$D$15,'Neighborhood Characteristics'!$C$3:$BJ$49,'Neighborhood Matching Prefs'!$C26+1,FALSE)&gt;0,HLOOKUP('Inputs and Outputs'!$D$15,'Neighborhood Characteristics'!$C$3:$BJ$49,'Neighborhood Matching Prefs'!$C26+1,FALSE)*N$1,IF(SUM(OFFSET('Neighborhood Characteristics'!$C$3,$A26,(HLOOKUP('Inputs and Outputs'!$D$15,'Neighborhood Characteristics'!$C$3:$BJ$51,49,FALSE)),$B26,1))&gt;0,N$1/2,0))</f>
        <v>0</v>
      </c>
      <c r="O26">
        <f ca="1">IF(HLOOKUP('Inputs and Outputs'!$D$16,'Neighborhood Characteristics'!$C$3:$BJ$49,'Neighborhood Matching Prefs'!$C26+1,FALSE)&gt;0,HLOOKUP('Inputs and Outputs'!$D$16,'Neighborhood Characteristics'!$C$3:$BJ$49,'Neighborhood Matching Prefs'!$C26+1,FALSE)*O$1,IF(SUM(OFFSET('Neighborhood Characteristics'!$C$3,$A26,(HLOOKUP('Inputs and Outputs'!$D$16,'Neighborhood Characteristics'!$C$3:$BJ$51,49,FALSE)),$B26,1))&gt;0,O$1/2,0))</f>
        <v>10</v>
      </c>
      <c r="P26">
        <f ca="1">IF(HLOOKUP('Inputs and Outputs'!$D$17,'Neighborhood Characteristics'!$C$3:$BJ$49,'Neighborhood Matching Prefs'!$C26+1,FALSE)&gt;0,HLOOKUP('Inputs and Outputs'!$D$17,'Neighborhood Characteristics'!$C$3:$BJ$49,'Neighborhood Matching Prefs'!$C26+1,FALSE)*P$1,IF(SUM(OFFSET('Neighborhood Characteristics'!$C$3,$A26,(HLOOKUP('Inputs and Outputs'!$D$17,'Neighborhood Characteristics'!$C$3:$BJ$51,49,FALSE)),$B26,1))&gt;0,P$1/2,0))</f>
        <v>10</v>
      </c>
      <c r="Q26" s="78">
        <f>IFERROR(HLOOKUP(D26,'Commuter Model'!$C$12:$AS$61,50,FALSE),0)*$Q$1</f>
        <v>23.5</v>
      </c>
      <c r="R26">
        <f t="shared" ca="1" si="0"/>
        <v>91</v>
      </c>
      <c r="S26">
        <f t="shared" ca="1" si="1"/>
        <v>18</v>
      </c>
      <c r="T26">
        <f ca="1">IF(COUNTIF($S$2:S25,S26)&gt;0,COUNTIF($S$2:S25,S26)+S26,S26)</f>
        <v>18</v>
      </c>
      <c r="U26" t="s">
        <v>1</v>
      </c>
    </row>
    <row r="27" spans="1:21">
      <c r="A27">
        <v>22</v>
      </c>
      <c r="B27">
        <v>5</v>
      </c>
      <c r="C27">
        <f t="shared" si="2"/>
        <v>24</v>
      </c>
      <c r="D27" s="11" t="s">
        <v>61</v>
      </c>
      <c r="E27">
        <f ca="1">IF(HLOOKUP('Inputs and Outputs'!$D$6,'Neighborhood Characteristics'!$C$3:$BJ$49,'Neighborhood Matching Prefs'!$C27+1,FALSE)&gt;0,HLOOKUP('Inputs and Outputs'!$D$6,'Neighborhood Characteristics'!$C$3:$BJ$49,'Neighborhood Matching Prefs'!$C27+1,FALSE)*E$1,IF(SUM(OFFSET('Neighborhood Characteristics'!$C$3,$A27,(HLOOKUP('Inputs and Outputs'!$D$6,'Neighborhood Characteristics'!$C$3:$BJ$51,49,FALSE)),$B27,1))&gt;0,E$1/2,0))</f>
        <v>0</v>
      </c>
      <c r="F27">
        <f ca="1">IF(HLOOKUP('Inputs and Outputs'!$D$7,'Neighborhood Characteristics'!$C$3:$BJ$49,'Neighborhood Matching Prefs'!$C27+1,FALSE)&gt;0,HLOOKUP('Inputs and Outputs'!$D$7,'Neighborhood Characteristics'!$C$3:$BJ$49,'Neighborhood Matching Prefs'!$C27+1,FALSE)*F$1,IF(SUM(OFFSET('Neighborhood Characteristics'!$C$3,$A27,(HLOOKUP('Inputs and Outputs'!$D$7,'Neighborhood Characteristics'!$C$3:$BJ$51,49,FALSE)),$B27,1))&gt;0,F$1/2,0))</f>
        <v>0</v>
      </c>
      <c r="G27">
        <f ca="1">IF(HLOOKUP('Inputs and Outputs'!$D$8,'Neighborhood Characteristics'!$C$3:$BJ$49,'Neighborhood Matching Prefs'!$C27+1,FALSE)&gt;0,HLOOKUP('Inputs and Outputs'!$D$8,'Neighborhood Characteristics'!$C$3:$BJ$49,'Neighborhood Matching Prefs'!$C27+1,FALSE)*G$1,IF(SUM(OFFSET('Neighborhood Characteristics'!$C$3,$A27,(HLOOKUP('Inputs and Outputs'!$D$8,'Neighborhood Characteristics'!$C$3:$BJ$51,49,FALSE)),$B27,1))&gt;0,G$1/2,0))</f>
        <v>5</v>
      </c>
      <c r="H27">
        <f ca="1">IF(HLOOKUP('Inputs and Outputs'!$D$9,'Neighborhood Characteristics'!$C$3:$BJ$49,'Neighborhood Matching Prefs'!$C27+1,FALSE)&gt;0,HLOOKUP('Inputs and Outputs'!$D$9,'Neighborhood Characteristics'!$C$3:$BJ$49,'Neighborhood Matching Prefs'!$C27+1,FALSE)*H$1,IF(SUM(OFFSET('Neighborhood Characteristics'!$C$3,$A27,(HLOOKUP('Inputs and Outputs'!$D$9,'Neighborhood Characteristics'!$C$3:$BJ$51,49,FALSE)),$B27,1))&gt;0,H$1/2,0))</f>
        <v>15</v>
      </c>
      <c r="I27">
        <f ca="1">IF(HLOOKUP('Inputs and Outputs'!$D$10,'Neighborhood Characteristics'!$C$3:$BJ$49,'Neighborhood Matching Prefs'!$C27+1,FALSE)&gt;0,HLOOKUP('Inputs and Outputs'!$D$10,'Neighborhood Characteristics'!$C$3:$BJ$49,'Neighborhood Matching Prefs'!$C27+1,FALSE)*I$1,IF(SUM(OFFSET('Neighborhood Characteristics'!$C$3,$A27,(HLOOKUP('Inputs and Outputs'!$D$10,'Neighborhood Characteristics'!$C$3:$BJ$51,49,FALSE)),$B27,1))&gt;0,I$1/2,0))</f>
        <v>0</v>
      </c>
      <c r="J27">
        <f ca="1">IF(HLOOKUP('Inputs and Outputs'!$D$11,'Neighborhood Characteristics'!$C$3:$BJ$49,'Neighborhood Matching Prefs'!$C27+1,FALSE)&gt;0,HLOOKUP('Inputs and Outputs'!$D$11,'Neighborhood Characteristics'!$C$3:$BJ$49,'Neighborhood Matching Prefs'!$C27+1,FALSE)*J$1,IF(SUM(OFFSET('Neighborhood Characteristics'!$C$3,$A27,(HLOOKUP('Inputs and Outputs'!$D$11,'Neighborhood Characteristics'!$C$3:$BJ$51,49,FALSE)),$B27,1))&gt;0,J$1/2,0))</f>
        <v>7.5</v>
      </c>
      <c r="K27">
        <f ca="1">IF(HLOOKUP('Inputs and Outputs'!$D$12,'Neighborhood Characteristics'!$C$3:$BJ$49,'Neighborhood Matching Prefs'!$C27+1,FALSE)&gt;0,HLOOKUP('Inputs and Outputs'!$D$12,'Neighborhood Characteristics'!$C$3:$BJ$49,'Neighborhood Matching Prefs'!$C27+1,FALSE)*K$1,IF(SUM(OFFSET('Neighborhood Characteristics'!$C$3,$A27,(HLOOKUP('Inputs and Outputs'!$D$12,'Neighborhood Characteristics'!$C$3:$BJ$51,49,FALSE)),$B27,1))&gt;0,K$1/2,0))</f>
        <v>0</v>
      </c>
      <c r="L27">
        <f ca="1">IF(HLOOKUP('Inputs and Outputs'!$D$13,'Neighborhood Characteristics'!$C$3:$BJ$49,'Neighborhood Matching Prefs'!$C27+1,FALSE)&gt;0,HLOOKUP('Inputs and Outputs'!$D$13,'Neighborhood Characteristics'!$C$3:$BJ$49,'Neighborhood Matching Prefs'!$C27+1,FALSE)*L$1,IF(SUM(OFFSET('Neighborhood Characteristics'!$C$3,$A27,(HLOOKUP('Inputs and Outputs'!$D$13,'Neighborhood Characteristics'!$C$3:$BJ$51,49,FALSE)),$B27,1))&gt;0,L$1/2,0))</f>
        <v>5</v>
      </c>
      <c r="M27">
        <f ca="1">IF(HLOOKUP('Inputs and Outputs'!$D$14,'Neighborhood Characteristics'!$C$3:$BJ$49,'Neighborhood Matching Prefs'!$C27+1,FALSE)&gt;0,HLOOKUP('Inputs and Outputs'!$D$14,'Neighborhood Characteristics'!$C$3:$BJ$49,'Neighborhood Matching Prefs'!$C27+1,FALSE)*M$1,IF(SUM(OFFSET('Neighborhood Characteristics'!$C$3,$A27,(HLOOKUP('Inputs and Outputs'!$D$14,'Neighborhood Characteristics'!$C$3:$BJ$51,49,FALSE)),$B27,1))&gt;0,M$1/2,0))</f>
        <v>0</v>
      </c>
      <c r="N27">
        <f ca="1">IF(HLOOKUP('Inputs and Outputs'!$D$15,'Neighborhood Characteristics'!$C$3:$BJ$49,'Neighborhood Matching Prefs'!$C27+1,FALSE)&gt;0,HLOOKUP('Inputs and Outputs'!$D$15,'Neighborhood Characteristics'!$C$3:$BJ$49,'Neighborhood Matching Prefs'!$C27+1,FALSE)*N$1,IF(SUM(OFFSET('Neighborhood Characteristics'!$C$3,$A27,(HLOOKUP('Inputs and Outputs'!$D$15,'Neighborhood Characteristics'!$C$3:$BJ$51,49,FALSE)),$B27,1))&gt;0,N$1/2,0))</f>
        <v>0</v>
      </c>
      <c r="O27">
        <f ca="1">IF(HLOOKUP('Inputs and Outputs'!$D$16,'Neighborhood Characteristics'!$C$3:$BJ$49,'Neighborhood Matching Prefs'!$C27+1,FALSE)&gt;0,HLOOKUP('Inputs and Outputs'!$D$16,'Neighborhood Characteristics'!$C$3:$BJ$49,'Neighborhood Matching Prefs'!$C27+1,FALSE)*O$1,IF(SUM(OFFSET('Neighborhood Characteristics'!$C$3,$A27,(HLOOKUP('Inputs and Outputs'!$D$16,'Neighborhood Characteristics'!$C$3:$BJ$51,49,FALSE)),$B27,1))&gt;0,O$1/2,0))</f>
        <v>10</v>
      </c>
      <c r="P27">
        <f ca="1">IF(HLOOKUP('Inputs and Outputs'!$D$17,'Neighborhood Characteristics'!$C$3:$BJ$49,'Neighborhood Matching Prefs'!$C27+1,FALSE)&gt;0,HLOOKUP('Inputs and Outputs'!$D$17,'Neighborhood Characteristics'!$C$3:$BJ$49,'Neighborhood Matching Prefs'!$C27+1,FALSE)*P$1,IF(SUM(OFFSET('Neighborhood Characteristics'!$C$3,$A27,(HLOOKUP('Inputs and Outputs'!$D$17,'Neighborhood Characteristics'!$C$3:$BJ$51,49,FALSE)),$B27,1))&gt;0,P$1/2,0))</f>
        <v>5</v>
      </c>
      <c r="Q27" s="78">
        <f>IFERROR(HLOOKUP(D27,'Commuter Model'!$C$12:$AS$61,50,FALSE),0)*$Q$1</f>
        <v>18.5</v>
      </c>
      <c r="R27">
        <f t="shared" ca="1" si="0"/>
        <v>66</v>
      </c>
      <c r="S27">
        <f t="shared" ca="1" si="1"/>
        <v>38</v>
      </c>
      <c r="T27">
        <f ca="1">IF(COUNTIF($S$2:S26,S27)&gt;0,COUNTIF($S$2:S26,S27)+S27,S27)</f>
        <v>38</v>
      </c>
      <c r="U27" t="s">
        <v>61</v>
      </c>
    </row>
    <row r="28" spans="1:21">
      <c r="A28">
        <v>22</v>
      </c>
      <c r="B28">
        <v>5</v>
      </c>
      <c r="C28">
        <f t="shared" si="2"/>
        <v>25</v>
      </c>
      <c r="D28" s="11" t="s">
        <v>0</v>
      </c>
      <c r="E28">
        <f ca="1">IF(HLOOKUP('Inputs and Outputs'!$D$6,'Neighborhood Characteristics'!$C$3:$BJ$49,'Neighborhood Matching Prefs'!$C28+1,FALSE)&gt;0,HLOOKUP('Inputs and Outputs'!$D$6,'Neighborhood Characteristics'!$C$3:$BJ$49,'Neighborhood Matching Prefs'!$C28+1,FALSE)*E$1,IF(SUM(OFFSET('Neighborhood Characteristics'!$C$3,$A28,(HLOOKUP('Inputs and Outputs'!$D$6,'Neighborhood Characteristics'!$C$3:$BJ$51,49,FALSE)),$B28,1))&gt;0,E$1/2,0))</f>
        <v>0</v>
      </c>
      <c r="F28">
        <f ca="1">IF(HLOOKUP('Inputs and Outputs'!$D$7,'Neighborhood Characteristics'!$C$3:$BJ$49,'Neighborhood Matching Prefs'!$C28+1,FALSE)&gt;0,HLOOKUP('Inputs and Outputs'!$D$7,'Neighborhood Characteristics'!$C$3:$BJ$49,'Neighborhood Matching Prefs'!$C28+1,FALSE)*F$1,IF(SUM(OFFSET('Neighborhood Characteristics'!$C$3,$A28,(HLOOKUP('Inputs and Outputs'!$D$7,'Neighborhood Characteristics'!$C$3:$BJ$51,49,FALSE)),$B28,1))&gt;0,F$1/2,0))</f>
        <v>0</v>
      </c>
      <c r="G28">
        <f ca="1">IF(HLOOKUP('Inputs and Outputs'!$D$8,'Neighborhood Characteristics'!$C$3:$BJ$49,'Neighborhood Matching Prefs'!$C28+1,FALSE)&gt;0,HLOOKUP('Inputs and Outputs'!$D$8,'Neighborhood Characteristics'!$C$3:$BJ$49,'Neighborhood Matching Prefs'!$C28+1,FALSE)*G$1,IF(SUM(OFFSET('Neighborhood Characteristics'!$C$3,$A28,(HLOOKUP('Inputs and Outputs'!$D$8,'Neighborhood Characteristics'!$C$3:$BJ$51,49,FALSE)),$B28,1))&gt;0,G$1/2,0))</f>
        <v>5</v>
      </c>
      <c r="H28">
        <f ca="1">IF(HLOOKUP('Inputs and Outputs'!$D$9,'Neighborhood Characteristics'!$C$3:$BJ$49,'Neighborhood Matching Prefs'!$C28+1,FALSE)&gt;0,HLOOKUP('Inputs and Outputs'!$D$9,'Neighborhood Characteristics'!$C$3:$BJ$49,'Neighborhood Matching Prefs'!$C28+1,FALSE)*H$1,IF(SUM(OFFSET('Neighborhood Characteristics'!$C$3,$A28,(HLOOKUP('Inputs and Outputs'!$D$9,'Neighborhood Characteristics'!$C$3:$BJ$51,49,FALSE)),$B28,1))&gt;0,H$1/2,0))</f>
        <v>15</v>
      </c>
      <c r="I28">
        <f ca="1">IF(HLOOKUP('Inputs and Outputs'!$D$10,'Neighborhood Characteristics'!$C$3:$BJ$49,'Neighborhood Matching Prefs'!$C28+1,FALSE)&gt;0,HLOOKUP('Inputs and Outputs'!$D$10,'Neighborhood Characteristics'!$C$3:$BJ$49,'Neighborhood Matching Prefs'!$C28+1,FALSE)*I$1,IF(SUM(OFFSET('Neighborhood Characteristics'!$C$3,$A28,(HLOOKUP('Inputs and Outputs'!$D$10,'Neighborhood Characteristics'!$C$3:$BJ$51,49,FALSE)),$B28,1))&gt;0,I$1/2,0))</f>
        <v>0</v>
      </c>
      <c r="J28">
        <f ca="1">IF(HLOOKUP('Inputs and Outputs'!$D$11,'Neighborhood Characteristics'!$C$3:$BJ$49,'Neighborhood Matching Prefs'!$C28+1,FALSE)&gt;0,HLOOKUP('Inputs and Outputs'!$D$11,'Neighborhood Characteristics'!$C$3:$BJ$49,'Neighborhood Matching Prefs'!$C28+1,FALSE)*J$1,IF(SUM(OFFSET('Neighborhood Characteristics'!$C$3,$A28,(HLOOKUP('Inputs and Outputs'!$D$11,'Neighborhood Characteristics'!$C$3:$BJ$51,49,FALSE)),$B28,1))&gt;0,J$1/2,0))</f>
        <v>15</v>
      </c>
      <c r="K28">
        <f ca="1">IF(HLOOKUP('Inputs and Outputs'!$D$12,'Neighborhood Characteristics'!$C$3:$BJ$49,'Neighborhood Matching Prefs'!$C28+1,FALSE)&gt;0,HLOOKUP('Inputs and Outputs'!$D$12,'Neighborhood Characteristics'!$C$3:$BJ$49,'Neighborhood Matching Prefs'!$C28+1,FALSE)*K$1,IF(SUM(OFFSET('Neighborhood Characteristics'!$C$3,$A28,(HLOOKUP('Inputs and Outputs'!$D$12,'Neighborhood Characteristics'!$C$3:$BJ$51,49,FALSE)),$B28,1))&gt;0,K$1/2,0))</f>
        <v>0</v>
      </c>
      <c r="L28">
        <f ca="1">IF(HLOOKUP('Inputs and Outputs'!$D$13,'Neighborhood Characteristics'!$C$3:$BJ$49,'Neighborhood Matching Prefs'!$C28+1,FALSE)&gt;0,HLOOKUP('Inputs and Outputs'!$D$13,'Neighborhood Characteristics'!$C$3:$BJ$49,'Neighborhood Matching Prefs'!$C28+1,FALSE)*L$1,IF(SUM(OFFSET('Neighborhood Characteristics'!$C$3,$A28,(HLOOKUP('Inputs and Outputs'!$D$13,'Neighborhood Characteristics'!$C$3:$BJ$51,49,FALSE)),$B28,1))&gt;0,L$1/2,0))</f>
        <v>5</v>
      </c>
      <c r="M28">
        <f ca="1">IF(HLOOKUP('Inputs and Outputs'!$D$14,'Neighborhood Characteristics'!$C$3:$BJ$49,'Neighborhood Matching Prefs'!$C28+1,FALSE)&gt;0,HLOOKUP('Inputs and Outputs'!$D$14,'Neighborhood Characteristics'!$C$3:$BJ$49,'Neighborhood Matching Prefs'!$C28+1,FALSE)*M$1,IF(SUM(OFFSET('Neighborhood Characteristics'!$C$3,$A28,(HLOOKUP('Inputs and Outputs'!$D$14,'Neighborhood Characteristics'!$C$3:$BJ$51,49,FALSE)),$B28,1))&gt;0,M$1/2,0))</f>
        <v>0</v>
      </c>
      <c r="N28">
        <f ca="1">IF(HLOOKUP('Inputs and Outputs'!$D$15,'Neighborhood Characteristics'!$C$3:$BJ$49,'Neighborhood Matching Prefs'!$C28+1,FALSE)&gt;0,HLOOKUP('Inputs and Outputs'!$D$15,'Neighborhood Characteristics'!$C$3:$BJ$49,'Neighborhood Matching Prefs'!$C28+1,FALSE)*N$1,IF(SUM(OFFSET('Neighborhood Characteristics'!$C$3,$A28,(HLOOKUP('Inputs and Outputs'!$D$15,'Neighborhood Characteristics'!$C$3:$BJ$51,49,FALSE)),$B28,1))&gt;0,N$1/2,0))</f>
        <v>0</v>
      </c>
      <c r="O28">
        <f ca="1">IF(HLOOKUP('Inputs and Outputs'!$D$16,'Neighborhood Characteristics'!$C$3:$BJ$49,'Neighborhood Matching Prefs'!$C28+1,FALSE)&gt;0,HLOOKUP('Inputs and Outputs'!$D$16,'Neighborhood Characteristics'!$C$3:$BJ$49,'Neighborhood Matching Prefs'!$C28+1,FALSE)*O$1,IF(SUM(OFFSET('Neighborhood Characteristics'!$C$3,$A28,(HLOOKUP('Inputs and Outputs'!$D$16,'Neighborhood Characteristics'!$C$3:$BJ$51,49,FALSE)),$B28,1))&gt;0,O$1/2,0))</f>
        <v>10</v>
      </c>
      <c r="P28">
        <f ca="1">IF(HLOOKUP('Inputs and Outputs'!$D$17,'Neighborhood Characteristics'!$C$3:$BJ$49,'Neighborhood Matching Prefs'!$C28+1,FALSE)&gt;0,HLOOKUP('Inputs and Outputs'!$D$17,'Neighborhood Characteristics'!$C$3:$BJ$49,'Neighborhood Matching Prefs'!$C28+1,FALSE)*P$1,IF(SUM(OFFSET('Neighborhood Characteristics'!$C$3,$A28,(HLOOKUP('Inputs and Outputs'!$D$17,'Neighborhood Characteristics'!$C$3:$BJ$51,49,FALSE)),$B28,1))&gt;0,P$1/2,0))</f>
        <v>5</v>
      </c>
      <c r="Q28" s="78">
        <f>IFERROR(HLOOKUP(D28,'Commuter Model'!$C$12:$AS$61,50,FALSE),0)*$Q$1</f>
        <v>20</v>
      </c>
      <c r="R28">
        <f t="shared" ca="1" si="0"/>
        <v>75</v>
      </c>
      <c r="S28">
        <f t="shared" ca="1" si="1"/>
        <v>34</v>
      </c>
      <c r="T28">
        <f ca="1">IF(COUNTIF($S$2:S27,S28)&gt;0,COUNTIF($S$2:S27,S28)+S28,S28)</f>
        <v>34</v>
      </c>
      <c r="U28" t="s">
        <v>0</v>
      </c>
    </row>
    <row r="29" spans="1:21">
      <c r="A29">
        <v>22</v>
      </c>
      <c r="B29">
        <v>5</v>
      </c>
      <c r="C29">
        <f t="shared" si="2"/>
        <v>26</v>
      </c>
      <c r="D29" s="13" t="s">
        <v>2</v>
      </c>
      <c r="E29">
        <f ca="1">IF(HLOOKUP('Inputs and Outputs'!$D$6,'Neighborhood Characteristics'!$C$3:$BJ$49,'Neighborhood Matching Prefs'!$C29+1,FALSE)&gt;0,HLOOKUP('Inputs and Outputs'!$D$6,'Neighborhood Characteristics'!$C$3:$BJ$49,'Neighborhood Matching Prefs'!$C29+1,FALSE)*E$1,IF(SUM(OFFSET('Neighborhood Characteristics'!$C$3,$A29,(HLOOKUP('Inputs and Outputs'!$D$6,'Neighborhood Characteristics'!$C$3:$BJ$51,49,FALSE)),$B29,1))&gt;0,E$1/2,0))</f>
        <v>0</v>
      </c>
      <c r="F29">
        <f ca="1">IF(HLOOKUP('Inputs and Outputs'!$D$7,'Neighborhood Characteristics'!$C$3:$BJ$49,'Neighborhood Matching Prefs'!$C29+1,FALSE)&gt;0,HLOOKUP('Inputs and Outputs'!$D$7,'Neighborhood Characteristics'!$C$3:$BJ$49,'Neighborhood Matching Prefs'!$C29+1,FALSE)*F$1,IF(SUM(OFFSET('Neighborhood Characteristics'!$C$3,$A29,(HLOOKUP('Inputs and Outputs'!$D$7,'Neighborhood Characteristics'!$C$3:$BJ$51,49,FALSE)),$B29,1))&gt;0,F$1/2,0))</f>
        <v>0</v>
      </c>
      <c r="G29">
        <f ca="1">IF(HLOOKUP('Inputs and Outputs'!$D$8,'Neighborhood Characteristics'!$C$3:$BJ$49,'Neighborhood Matching Prefs'!$C29+1,FALSE)&gt;0,HLOOKUP('Inputs and Outputs'!$D$8,'Neighborhood Characteristics'!$C$3:$BJ$49,'Neighborhood Matching Prefs'!$C29+1,FALSE)*G$1,IF(SUM(OFFSET('Neighborhood Characteristics'!$C$3,$A29,(HLOOKUP('Inputs and Outputs'!$D$8,'Neighborhood Characteristics'!$C$3:$BJ$51,49,FALSE)),$B29,1))&gt;0,G$1/2,0))</f>
        <v>5</v>
      </c>
      <c r="H29">
        <f ca="1">IF(HLOOKUP('Inputs and Outputs'!$D$9,'Neighborhood Characteristics'!$C$3:$BJ$49,'Neighborhood Matching Prefs'!$C29+1,FALSE)&gt;0,HLOOKUP('Inputs and Outputs'!$D$9,'Neighborhood Characteristics'!$C$3:$BJ$49,'Neighborhood Matching Prefs'!$C29+1,FALSE)*H$1,IF(SUM(OFFSET('Neighborhood Characteristics'!$C$3,$A29,(HLOOKUP('Inputs and Outputs'!$D$9,'Neighborhood Characteristics'!$C$3:$BJ$51,49,FALSE)),$B29,1))&gt;0,H$1/2,0))</f>
        <v>15</v>
      </c>
      <c r="I29">
        <f ca="1">IF(HLOOKUP('Inputs and Outputs'!$D$10,'Neighborhood Characteristics'!$C$3:$BJ$49,'Neighborhood Matching Prefs'!$C29+1,FALSE)&gt;0,HLOOKUP('Inputs and Outputs'!$D$10,'Neighborhood Characteristics'!$C$3:$BJ$49,'Neighborhood Matching Prefs'!$C29+1,FALSE)*I$1,IF(SUM(OFFSET('Neighborhood Characteristics'!$C$3,$A29,(HLOOKUP('Inputs and Outputs'!$D$10,'Neighborhood Characteristics'!$C$3:$BJ$51,49,FALSE)),$B29,1))&gt;0,I$1/2,0))</f>
        <v>0</v>
      </c>
      <c r="J29">
        <f ca="1">IF(HLOOKUP('Inputs and Outputs'!$D$11,'Neighborhood Characteristics'!$C$3:$BJ$49,'Neighborhood Matching Prefs'!$C29+1,FALSE)&gt;0,HLOOKUP('Inputs and Outputs'!$D$11,'Neighborhood Characteristics'!$C$3:$BJ$49,'Neighborhood Matching Prefs'!$C29+1,FALSE)*J$1,IF(SUM(OFFSET('Neighborhood Characteristics'!$C$3,$A29,(HLOOKUP('Inputs and Outputs'!$D$11,'Neighborhood Characteristics'!$C$3:$BJ$51,49,FALSE)),$B29,1))&gt;0,J$1/2,0))</f>
        <v>15</v>
      </c>
      <c r="K29">
        <f ca="1">IF(HLOOKUP('Inputs and Outputs'!$D$12,'Neighborhood Characteristics'!$C$3:$BJ$49,'Neighborhood Matching Prefs'!$C29+1,FALSE)&gt;0,HLOOKUP('Inputs and Outputs'!$D$12,'Neighborhood Characteristics'!$C$3:$BJ$49,'Neighborhood Matching Prefs'!$C29+1,FALSE)*K$1,IF(SUM(OFFSET('Neighborhood Characteristics'!$C$3,$A29,(HLOOKUP('Inputs and Outputs'!$D$12,'Neighborhood Characteristics'!$C$3:$BJ$51,49,FALSE)),$B29,1))&gt;0,K$1/2,0))</f>
        <v>0</v>
      </c>
      <c r="L29">
        <f ca="1">IF(HLOOKUP('Inputs and Outputs'!$D$13,'Neighborhood Characteristics'!$C$3:$BJ$49,'Neighborhood Matching Prefs'!$C29+1,FALSE)&gt;0,HLOOKUP('Inputs and Outputs'!$D$13,'Neighborhood Characteristics'!$C$3:$BJ$49,'Neighborhood Matching Prefs'!$C29+1,FALSE)*L$1,IF(SUM(OFFSET('Neighborhood Characteristics'!$C$3,$A29,(HLOOKUP('Inputs and Outputs'!$D$13,'Neighborhood Characteristics'!$C$3:$BJ$51,49,FALSE)),$B29,1))&gt;0,L$1/2,0))</f>
        <v>10</v>
      </c>
      <c r="M29">
        <f ca="1">IF(HLOOKUP('Inputs and Outputs'!$D$14,'Neighborhood Characteristics'!$C$3:$BJ$49,'Neighborhood Matching Prefs'!$C29+1,FALSE)&gt;0,HLOOKUP('Inputs and Outputs'!$D$14,'Neighborhood Characteristics'!$C$3:$BJ$49,'Neighborhood Matching Prefs'!$C29+1,FALSE)*M$1,IF(SUM(OFFSET('Neighborhood Characteristics'!$C$3,$A29,(HLOOKUP('Inputs and Outputs'!$D$14,'Neighborhood Characteristics'!$C$3:$BJ$51,49,FALSE)),$B29,1))&gt;0,M$1/2,0))</f>
        <v>0</v>
      </c>
      <c r="N29">
        <f ca="1">IF(HLOOKUP('Inputs and Outputs'!$D$15,'Neighborhood Characteristics'!$C$3:$BJ$49,'Neighborhood Matching Prefs'!$C29+1,FALSE)&gt;0,HLOOKUP('Inputs and Outputs'!$D$15,'Neighborhood Characteristics'!$C$3:$BJ$49,'Neighborhood Matching Prefs'!$C29+1,FALSE)*N$1,IF(SUM(OFFSET('Neighborhood Characteristics'!$C$3,$A29,(HLOOKUP('Inputs and Outputs'!$D$15,'Neighborhood Characteristics'!$C$3:$BJ$51,49,FALSE)),$B29,1))&gt;0,N$1/2,0))</f>
        <v>0</v>
      </c>
      <c r="O29">
        <f ca="1">IF(HLOOKUP('Inputs and Outputs'!$D$16,'Neighborhood Characteristics'!$C$3:$BJ$49,'Neighborhood Matching Prefs'!$C29+1,FALSE)&gt;0,HLOOKUP('Inputs and Outputs'!$D$16,'Neighborhood Characteristics'!$C$3:$BJ$49,'Neighborhood Matching Prefs'!$C29+1,FALSE)*O$1,IF(SUM(OFFSET('Neighborhood Characteristics'!$C$3,$A29,(HLOOKUP('Inputs and Outputs'!$D$16,'Neighborhood Characteristics'!$C$3:$BJ$51,49,FALSE)),$B29,1))&gt;0,O$1/2,0))</f>
        <v>10</v>
      </c>
      <c r="P29">
        <f ca="1">IF(HLOOKUP('Inputs and Outputs'!$D$17,'Neighborhood Characteristics'!$C$3:$BJ$49,'Neighborhood Matching Prefs'!$C29+1,FALSE)&gt;0,HLOOKUP('Inputs and Outputs'!$D$17,'Neighborhood Characteristics'!$C$3:$BJ$49,'Neighborhood Matching Prefs'!$C29+1,FALSE)*P$1,IF(SUM(OFFSET('Neighborhood Characteristics'!$C$3,$A29,(HLOOKUP('Inputs and Outputs'!$D$17,'Neighborhood Characteristics'!$C$3:$BJ$51,49,FALSE)),$B29,1))&gt;0,P$1/2,0))</f>
        <v>10</v>
      </c>
      <c r="Q29" s="78">
        <f>IFERROR(HLOOKUP(D29,'Commuter Model'!$C$12:$AS$61,50,FALSE),0)*$Q$1</f>
        <v>20</v>
      </c>
      <c r="R29">
        <f t="shared" ca="1" si="0"/>
        <v>85</v>
      </c>
      <c r="S29">
        <f t="shared" ca="1" si="1"/>
        <v>26</v>
      </c>
      <c r="T29">
        <f ca="1">IF(COUNTIF($S$2:S28,S29)&gt;0,COUNTIF($S$2:S28,S29)+S29,S29)</f>
        <v>28</v>
      </c>
      <c r="U29" t="s">
        <v>2</v>
      </c>
    </row>
    <row r="30" spans="1:21">
      <c r="A30">
        <v>27</v>
      </c>
      <c r="B30">
        <v>5</v>
      </c>
      <c r="C30">
        <f t="shared" si="2"/>
        <v>27</v>
      </c>
      <c r="D30" s="14" t="s">
        <v>155</v>
      </c>
      <c r="E30">
        <f ca="1">IF(HLOOKUP('Inputs and Outputs'!$D$6,'Neighborhood Characteristics'!$C$3:$BJ$49,'Neighborhood Matching Prefs'!$C30+1,FALSE)&gt;0,HLOOKUP('Inputs and Outputs'!$D$6,'Neighborhood Characteristics'!$C$3:$BJ$49,'Neighborhood Matching Prefs'!$C30+1,FALSE)*E$1,IF(SUM(OFFSET('Neighborhood Characteristics'!$C$3,$A30,(HLOOKUP('Inputs and Outputs'!$D$6,'Neighborhood Characteristics'!$C$3:$BJ$51,49,FALSE)),$B30,1))&gt;0,E$1/2,0))</f>
        <v>0</v>
      </c>
      <c r="F30">
        <f ca="1">IF(HLOOKUP('Inputs and Outputs'!$D$7,'Neighborhood Characteristics'!$C$3:$BJ$49,'Neighborhood Matching Prefs'!$C30+1,FALSE)&gt;0,HLOOKUP('Inputs and Outputs'!$D$7,'Neighborhood Characteristics'!$C$3:$BJ$49,'Neighborhood Matching Prefs'!$C30+1,FALSE)*F$1,IF(SUM(OFFSET('Neighborhood Characteristics'!$C$3,$A30,(HLOOKUP('Inputs and Outputs'!$D$7,'Neighborhood Characteristics'!$C$3:$BJ$51,49,FALSE)),$B30,1))&gt;0,F$1/2,0))</f>
        <v>15</v>
      </c>
      <c r="G30">
        <f ca="1">IF(HLOOKUP('Inputs and Outputs'!$D$8,'Neighborhood Characteristics'!$C$3:$BJ$49,'Neighborhood Matching Prefs'!$C30+1,FALSE)&gt;0,HLOOKUP('Inputs and Outputs'!$D$8,'Neighborhood Characteristics'!$C$3:$BJ$49,'Neighborhood Matching Prefs'!$C30+1,FALSE)*G$1,IF(SUM(OFFSET('Neighborhood Characteristics'!$C$3,$A30,(HLOOKUP('Inputs and Outputs'!$D$8,'Neighborhood Characteristics'!$C$3:$BJ$51,49,FALSE)),$B30,1))&gt;0,G$1/2,0))</f>
        <v>0</v>
      </c>
      <c r="H30">
        <f ca="1">IF(HLOOKUP('Inputs and Outputs'!$D$9,'Neighborhood Characteristics'!$C$3:$BJ$49,'Neighborhood Matching Prefs'!$C30+1,FALSE)&gt;0,HLOOKUP('Inputs and Outputs'!$D$9,'Neighborhood Characteristics'!$C$3:$BJ$49,'Neighborhood Matching Prefs'!$C30+1,FALSE)*H$1,IF(SUM(OFFSET('Neighborhood Characteristics'!$C$3,$A30,(HLOOKUP('Inputs and Outputs'!$D$9,'Neighborhood Characteristics'!$C$3:$BJ$51,49,FALSE)),$B30,1))&gt;0,H$1/2,0))</f>
        <v>15</v>
      </c>
      <c r="I30">
        <f ca="1">IF(HLOOKUP('Inputs and Outputs'!$D$10,'Neighborhood Characteristics'!$C$3:$BJ$49,'Neighborhood Matching Prefs'!$C30+1,FALSE)&gt;0,HLOOKUP('Inputs and Outputs'!$D$10,'Neighborhood Characteristics'!$C$3:$BJ$49,'Neighborhood Matching Prefs'!$C30+1,FALSE)*I$1,IF(SUM(OFFSET('Neighborhood Characteristics'!$C$3,$A30,(HLOOKUP('Inputs and Outputs'!$D$10,'Neighborhood Characteristics'!$C$3:$BJ$51,49,FALSE)),$B30,1))&gt;0,I$1/2,0))</f>
        <v>0</v>
      </c>
      <c r="J30">
        <f ca="1">IF(HLOOKUP('Inputs and Outputs'!$D$11,'Neighborhood Characteristics'!$C$3:$BJ$49,'Neighborhood Matching Prefs'!$C30+1,FALSE)&gt;0,HLOOKUP('Inputs and Outputs'!$D$11,'Neighborhood Characteristics'!$C$3:$BJ$49,'Neighborhood Matching Prefs'!$C30+1,FALSE)*J$1,IF(SUM(OFFSET('Neighborhood Characteristics'!$C$3,$A30,(HLOOKUP('Inputs and Outputs'!$D$11,'Neighborhood Characteristics'!$C$3:$BJ$51,49,FALSE)),$B30,1))&gt;0,J$1/2,0))</f>
        <v>15</v>
      </c>
      <c r="K30">
        <f ca="1">IF(HLOOKUP('Inputs and Outputs'!$D$12,'Neighborhood Characteristics'!$C$3:$BJ$49,'Neighborhood Matching Prefs'!$C30+1,FALSE)&gt;0,HLOOKUP('Inputs and Outputs'!$D$12,'Neighborhood Characteristics'!$C$3:$BJ$49,'Neighborhood Matching Prefs'!$C30+1,FALSE)*K$1,IF(SUM(OFFSET('Neighborhood Characteristics'!$C$3,$A30,(HLOOKUP('Inputs and Outputs'!$D$12,'Neighborhood Characteristics'!$C$3:$BJ$51,49,FALSE)),$B30,1))&gt;0,K$1/2,0))</f>
        <v>5</v>
      </c>
      <c r="L30">
        <f ca="1">IF(HLOOKUP('Inputs and Outputs'!$D$13,'Neighborhood Characteristics'!$C$3:$BJ$49,'Neighborhood Matching Prefs'!$C30+1,FALSE)&gt;0,HLOOKUP('Inputs and Outputs'!$D$13,'Neighborhood Characteristics'!$C$3:$BJ$49,'Neighborhood Matching Prefs'!$C30+1,FALSE)*L$1,IF(SUM(OFFSET('Neighborhood Characteristics'!$C$3,$A30,(HLOOKUP('Inputs and Outputs'!$D$13,'Neighborhood Characteristics'!$C$3:$BJ$51,49,FALSE)),$B30,1))&gt;0,L$1/2,0))</f>
        <v>5</v>
      </c>
      <c r="M30">
        <f ca="1">IF(HLOOKUP('Inputs and Outputs'!$D$14,'Neighborhood Characteristics'!$C$3:$BJ$49,'Neighborhood Matching Prefs'!$C30+1,FALSE)&gt;0,HLOOKUP('Inputs and Outputs'!$D$14,'Neighborhood Characteristics'!$C$3:$BJ$49,'Neighborhood Matching Prefs'!$C30+1,FALSE)*M$1,IF(SUM(OFFSET('Neighborhood Characteristics'!$C$3,$A30,(HLOOKUP('Inputs and Outputs'!$D$14,'Neighborhood Characteristics'!$C$3:$BJ$51,49,FALSE)),$B30,1))&gt;0,M$1/2,0))</f>
        <v>0</v>
      </c>
      <c r="N30">
        <f ca="1">IF(HLOOKUP('Inputs and Outputs'!$D$15,'Neighborhood Characteristics'!$C$3:$BJ$49,'Neighborhood Matching Prefs'!$C30+1,FALSE)&gt;0,HLOOKUP('Inputs and Outputs'!$D$15,'Neighborhood Characteristics'!$C$3:$BJ$49,'Neighborhood Matching Prefs'!$C30+1,FALSE)*N$1,IF(SUM(OFFSET('Neighborhood Characteristics'!$C$3,$A30,(HLOOKUP('Inputs and Outputs'!$D$15,'Neighborhood Characteristics'!$C$3:$BJ$51,49,FALSE)),$B30,1))&gt;0,N$1/2,0))</f>
        <v>0</v>
      </c>
      <c r="O30">
        <f ca="1">IF(HLOOKUP('Inputs and Outputs'!$D$16,'Neighborhood Characteristics'!$C$3:$BJ$49,'Neighborhood Matching Prefs'!$C30+1,FALSE)&gt;0,HLOOKUP('Inputs and Outputs'!$D$16,'Neighborhood Characteristics'!$C$3:$BJ$49,'Neighborhood Matching Prefs'!$C30+1,FALSE)*O$1,IF(SUM(OFFSET('Neighborhood Characteristics'!$C$3,$A30,(HLOOKUP('Inputs and Outputs'!$D$16,'Neighborhood Characteristics'!$C$3:$BJ$51,49,FALSE)),$B30,1))&gt;0,O$1/2,0))</f>
        <v>10</v>
      </c>
      <c r="P30">
        <f ca="1">IF(HLOOKUP('Inputs and Outputs'!$D$17,'Neighborhood Characteristics'!$C$3:$BJ$49,'Neighborhood Matching Prefs'!$C30+1,FALSE)&gt;0,HLOOKUP('Inputs and Outputs'!$D$17,'Neighborhood Characteristics'!$C$3:$BJ$49,'Neighborhood Matching Prefs'!$C30+1,FALSE)*P$1,IF(SUM(OFFSET('Neighborhood Characteristics'!$C$3,$A30,(HLOOKUP('Inputs and Outputs'!$D$17,'Neighborhood Characteristics'!$C$3:$BJ$51,49,FALSE)),$B30,1))&gt;0,P$1/2,0))</f>
        <v>10</v>
      </c>
      <c r="Q30" s="78">
        <f>IFERROR(HLOOKUP(D30,'Commuter Model'!$C$12:$AS$61,50,FALSE),0)*$Q$1</f>
        <v>14.999999999999998</v>
      </c>
      <c r="R30">
        <f t="shared" ca="1" si="0"/>
        <v>90</v>
      </c>
      <c r="S30">
        <f t="shared" ca="1" si="1"/>
        <v>19</v>
      </c>
      <c r="T30">
        <f ca="1">IF(COUNTIF($S$2:S29,S30)&gt;0,COUNTIF($S$2:S29,S30)+S30,S30)</f>
        <v>20</v>
      </c>
      <c r="U30" t="s">
        <v>155</v>
      </c>
    </row>
    <row r="31" spans="1:21">
      <c r="A31">
        <v>27</v>
      </c>
      <c r="B31">
        <v>5</v>
      </c>
      <c r="C31">
        <f t="shared" si="2"/>
        <v>28</v>
      </c>
      <c r="D31" s="14" t="s">
        <v>62</v>
      </c>
      <c r="E31">
        <f ca="1">IF(HLOOKUP('Inputs and Outputs'!$D$6,'Neighborhood Characteristics'!$C$3:$BJ$49,'Neighborhood Matching Prefs'!$C31+1,FALSE)&gt;0,HLOOKUP('Inputs and Outputs'!$D$6,'Neighborhood Characteristics'!$C$3:$BJ$49,'Neighborhood Matching Prefs'!$C31+1,FALSE)*E$1,IF(SUM(OFFSET('Neighborhood Characteristics'!$C$3,$A31,(HLOOKUP('Inputs and Outputs'!$D$6,'Neighborhood Characteristics'!$C$3:$BJ$51,49,FALSE)),$B31,1))&gt;0,E$1/2,0))</f>
        <v>0</v>
      </c>
      <c r="F31">
        <f ca="1">IF(HLOOKUP('Inputs and Outputs'!$D$7,'Neighborhood Characteristics'!$C$3:$BJ$49,'Neighborhood Matching Prefs'!$C31+1,FALSE)&gt;0,HLOOKUP('Inputs and Outputs'!$D$7,'Neighborhood Characteristics'!$C$3:$BJ$49,'Neighborhood Matching Prefs'!$C31+1,FALSE)*F$1,IF(SUM(OFFSET('Neighborhood Characteristics'!$C$3,$A31,(HLOOKUP('Inputs and Outputs'!$D$7,'Neighborhood Characteristics'!$C$3:$BJ$51,49,FALSE)),$B31,1))&gt;0,F$1/2,0))</f>
        <v>7.5</v>
      </c>
      <c r="G31">
        <f ca="1">IF(HLOOKUP('Inputs and Outputs'!$D$8,'Neighborhood Characteristics'!$C$3:$BJ$49,'Neighborhood Matching Prefs'!$C31+1,FALSE)&gt;0,HLOOKUP('Inputs and Outputs'!$D$8,'Neighborhood Characteristics'!$C$3:$BJ$49,'Neighborhood Matching Prefs'!$C31+1,FALSE)*G$1,IF(SUM(OFFSET('Neighborhood Characteristics'!$C$3,$A31,(HLOOKUP('Inputs and Outputs'!$D$8,'Neighborhood Characteristics'!$C$3:$BJ$51,49,FALSE)),$B31,1))&gt;0,G$1/2,0))</f>
        <v>0</v>
      </c>
      <c r="H31">
        <f ca="1">IF(HLOOKUP('Inputs and Outputs'!$D$9,'Neighborhood Characteristics'!$C$3:$BJ$49,'Neighborhood Matching Prefs'!$C31+1,FALSE)&gt;0,HLOOKUP('Inputs and Outputs'!$D$9,'Neighborhood Characteristics'!$C$3:$BJ$49,'Neighborhood Matching Prefs'!$C31+1,FALSE)*H$1,IF(SUM(OFFSET('Neighborhood Characteristics'!$C$3,$A31,(HLOOKUP('Inputs and Outputs'!$D$9,'Neighborhood Characteristics'!$C$3:$BJ$51,49,FALSE)),$B31,1))&gt;0,H$1/2,0))</f>
        <v>15</v>
      </c>
      <c r="I31">
        <f ca="1">IF(HLOOKUP('Inputs and Outputs'!$D$10,'Neighborhood Characteristics'!$C$3:$BJ$49,'Neighborhood Matching Prefs'!$C31+1,FALSE)&gt;0,HLOOKUP('Inputs and Outputs'!$D$10,'Neighborhood Characteristics'!$C$3:$BJ$49,'Neighborhood Matching Prefs'!$C31+1,FALSE)*I$1,IF(SUM(OFFSET('Neighborhood Characteristics'!$C$3,$A31,(HLOOKUP('Inputs and Outputs'!$D$10,'Neighborhood Characteristics'!$C$3:$BJ$51,49,FALSE)),$B31,1))&gt;0,I$1/2,0))</f>
        <v>0</v>
      </c>
      <c r="J31">
        <f ca="1">IF(HLOOKUP('Inputs and Outputs'!$D$11,'Neighborhood Characteristics'!$C$3:$BJ$49,'Neighborhood Matching Prefs'!$C31+1,FALSE)&gt;0,HLOOKUP('Inputs and Outputs'!$D$11,'Neighborhood Characteristics'!$C$3:$BJ$49,'Neighborhood Matching Prefs'!$C31+1,FALSE)*J$1,IF(SUM(OFFSET('Neighborhood Characteristics'!$C$3,$A31,(HLOOKUP('Inputs and Outputs'!$D$11,'Neighborhood Characteristics'!$C$3:$BJ$51,49,FALSE)),$B31,1))&gt;0,J$1/2,0))</f>
        <v>15</v>
      </c>
      <c r="K31">
        <f ca="1">IF(HLOOKUP('Inputs and Outputs'!$D$12,'Neighborhood Characteristics'!$C$3:$BJ$49,'Neighborhood Matching Prefs'!$C31+1,FALSE)&gt;0,HLOOKUP('Inputs and Outputs'!$D$12,'Neighborhood Characteristics'!$C$3:$BJ$49,'Neighborhood Matching Prefs'!$C31+1,FALSE)*K$1,IF(SUM(OFFSET('Neighborhood Characteristics'!$C$3,$A31,(HLOOKUP('Inputs and Outputs'!$D$12,'Neighborhood Characteristics'!$C$3:$BJ$51,49,FALSE)),$B31,1))&gt;0,K$1/2,0))</f>
        <v>5</v>
      </c>
      <c r="L31">
        <f ca="1">IF(HLOOKUP('Inputs and Outputs'!$D$13,'Neighborhood Characteristics'!$C$3:$BJ$49,'Neighborhood Matching Prefs'!$C31+1,FALSE)&gt;0,HLOOKUP('Inputs and Outputs'!$D$13,'Neighborhood Characteristics'!$C$3:$BJ$49,'Neighborhood Matching Prefs'!$C31+1,FALSE)*L$1,IF(SUM(OFFSET('Neighborhood Characteristics'!$C$3,$A31,(HLOOKUP('Inputs and Outputs'!$D$13,'Neighborhood Characteristics'!$C$3:$BJ$51,49,FALSE)),$B31,1))&gt;0,L$1/2,0))</f>
        <v>10</v>
      </c>
      <c r="M31">
        <f ca="1">IF(HLOOKUP('Inputs and Outputs'!$D$14,'Neighborhood Characteristics'!$C$3:$BJ$49,'Neighborhood Matching Prefs'!$C31+1,FALSE)&gt;0,HLOOKUP('Inputs and Outputs'!$D$14,'Neighborhood Characteristics'!$C$3:$BJ$49,'Neighborhood Matching Prefs'!$C31+1,FALSE)*M$1,IF(SUM(OFFSET('Neighborhood Characteristics'!$C$3,$A31,(HLOOKUP('Inputs and Outputs'!$D$14,'Neighborhood Characteristics'!$C$3:$BJ$51,49,FALSE)),$B31,1))&gt;0,M$1/2,0))</f>
        <v>0</v>
      </c>
      <c r="N31">
        <f ca="1">IF(HLOOKUP('Inputs and Outputs'!$D$15,'Neighborhood Characteristics'!$C$3:$BJ$49,'Neighborhood Matching Prefs'!$C31+1,FALSE)&gt;0,HLOOKUP('Inputs and Outputs'!$D$15,'Neighborhood Characteristics'!$C$3:$BJ$49,'Neighborhood Matching Prefs'!$C31+1,FALSE)*N$1,IF(SUM(OFFSET('Neighborhood Characteristics'!$C$3,$A31,(HLOOKUP('Inputs and Outputs'!$D$15,'Neighborhood Characteristics'!$C$3:$BJ$51,49,FALSE)),$B31,1))&gt;0,N$1/2,0))</f>
        <v>0</v>
      </c>
      <c r="O31">
        <f ca="1">IF(HLOOKUP('Inputs and Outputs'!$D$16,'Neighborhood Characteristics'!$C$3:$BJ$49,'Neighborhood Matching Prefs'!$C31+1,FALSE)&gt;0,HLOOKUP('Inputs and Outputs'!$D$16,'Neighborhood Characteristics'!$C$3:$BJ$49,'Neighborhood Matching Prefs'!$C31+1,FALSE)*O$1,IF(SUM(OFFSET('Neighborhood Characteristics'!$C$3,$A31,(HLOOKUP('Inputs and Outputs'!$D$16,'Neighborhood Characteristics'!$C$3:$BJ$51,49,FALSE)),$B31,1))&gt;0,O$1/2,0))</f>
        <v>10</v>
      </c>
      <c r="P31">
        <f ca="1">IF(HLOOKUP('Inputs and Outputs'!$D$17,'Neighborhood Characteristics'!$C$3:$BJ$49,'Neighborhood Matching Prefs'!$C31+1,FALSE)&gt;0,HLOOKUP('Inputs and Outputs'!$D$17,'Neighborhood Characteristics'!$C$3:$BJ$49,'Neighborhood Matching Prefs'!$C31+1,FALSE)*P$1,IF(SUM(OFFSET('Neighborhood Characteristics'!$C$3,$A31,(HLOOKUP('Inputs and Outputs'!$D$17,'Neighborhood Characteristics'!$C$3:$BJ$51,49,FALSE)),$B31,1))&gt;0,P$1/2,0))</f>
        <v>10</v>
      </c>
      <c r="Q31" s="78">
        <f>IFERROR(HLOOKUP(D31,'Commuter Model'!$C$12:$AS$61,50,FALSE),0)*$Q$1</f>
        <v>14.999999999999998</v>
      </c>
      <c r="R31">
        <f t="shared" ca="1" si="0"/>
        <v>87.5</v>
      </c>
      <c r="S31">
        <f t="shared" ca="1" si="1"/>
        <v>25</v>
      </c>
      <c r="T31">
        <f ca="1">IF(COUNTIF($S$2:S30,S31)&gt;0,COUNTIF($S$2:S30,S31)+S31,S31)</f>
        <v>25</v>
      </c>
      <c r="U31" t="s">
        <v>62</v>
      </c>
    </row>
    <row r="32" spans="1:21">
      <c r="A32">
        <v>27</v>
      </c>
      <c r="B32">
        <v>5</v>
      </c>
      <c r="C32">
        <f t="shared" si="2"/>
        <v>29</v>
      </c>
      <c r="D32" s="14" t="s">
        <v>63</v>
      </c>
      <c r="E32">
        <f ca="1">IF(HLOOKUP('Inputs and Outputs'!$D$6,'Neighborhood Characteristics'!$C$3:$BJ$49,'Neighborhood Matching Prefs'!$C32+1,FALSE)&gt;0,HLOOKUP('Inputs and Outputs'!$D$6,'Neighborhood Characteristics'!$C$3:$BJ$49,'Neighborhood Matching Prefs'!$C32+1,FALSE)*E$1,IF(SUM(OFFSET('Neighborhood Characteristics'!$C$3,$A32,(HLOOKUP('Inputs and Outputs'!$D$6,'Neighborhood Characteristics'!$C$3:$BJ$51,49,FALSE)),$B32,1))&gt;0,E$1/2,0))</f>
        <v>0</v>
      </c>
      <c r="F32">
        <f ca="1">IF(HLOOKUP('Inputs and Outputs'!$D$7,'Neighborhood Characteristics'!$C$3:$BJ$49,'Neighborhood Matching Prefs'!$C32+1,FALSE)&gt;0,HLOOKUP('Inputs and Outputs'!$D$7,'Neighborhood Characteristics'!$C$3:$BJ$49,'Neighborhood Matching Prefs'!$C32+1,FALSE)*F$1,IF(SUM(OFFSET('Neighborhood Characteristics'!$C$3,$A32,(HLOOKUP('Inputs and Outputs'!$D$7,'Neighborhood Characteristics'!$C$3:$BJ$51,49,FALSE)),$B32,1))&gt;0,F$1/2,0))</f>
        <v>7.5</v>
      </c>
      <c r="G32">
        <f ca="1">IF(HLOOKUP('Inputs and Outputs'!$D$8,'Neighborhood Characteristics'!$C$3:$BJ$49,'Neighborhood Matching Prefs'!$C32+1,FALSE)&gt;0,HLOOKUP('Inputs and Outputs'!$D$8,'Neighborhood Characteristics'!$C$3:$BJ$49,'Neighborhood Matching Prefs'!$C32+1,FALSE)*G$1,IF(SUM(OFFSET('Neighborhood Characteristics'!$C$3,$A32,(HLOOKUP('Inputs and Outputs'!$D$8,'Neighborhood Characteristics'!$C$3:$BJ$51,49,FALSE)),$B32,1))&gt;0,G$1/2,0))</f>
        <v>0</v>
      </c>
      <c r="H32">
        <f ca="1">IF(HLOOKUP('Inputs and Outputs'!$D$9,'Neighborhood Characteristics'!$C$3:$BJ$49,'Neighborhood Matching Prefs'!$C32+1,FALSE)&gt;0,HLOOKUP('Inputs and Outputs'!$D$9,'Neighborhood Characteristics'!$C$3:$BJ$49,'Neighborhood Matching Prefs'!$C32+1,FALSE)*H$1,IF(SUM(OFFSET('Neighborhood Characteristics'!$C$3,$A32,(HLOOKUP('Inputs and Outputs'!$D$9,'Neighborhood Characteristics'!$C$3:$BJ$51,49,FALSE)),$B32,1))&gt;0,H$1/2,0))</f>
        <v>15</v>
      </c>
      <c r="I32">
        <f ca="1">IF(HLOOKUP('Inputs and Outputs'!$D$10,'Neighborhood Characteristics'!$C$3:$BJ$49,'Neighborhood Matching Prefs'!$C32+1,FALSE)&gt;0,HLOOKUP('Inputs and Outputs'!$D$10,'Neighborhood Characteristics'!$C$3:$BJ$49,'Neighborhood Matching Prefs'!$C32+1,FALSE)*I$1,IF(SUM(OFFSET('Neighborhood Characteristics'!$C$3,$A32,(HLOOKUP('Inputs and Outputs'!$D$10,'Neighborhood Characteristics'!$C$3:$BJ$51,49,FALSE)),$B32,1))&gt;0,I$1/2,0))</f>
        <v>0</v>
      </c>
      <c r="J32">
        <f ca="1">IF(HLOOKUP('Inputs and Outputs'!$D$11,'Neighborhood Characteristics'!$C$3:$BJ$49,'Neighborhood Matching Prefs'!$C32+1,FALSE)&gt;0,HLOOKUP('Inputs and Outputs'!$D$11,'Neighborhood Characteristics'!$C$3:$BJ$49,'Neighborhood Matching Prefs'!$C32+1,FALSE)*J$1,IF(SUM(OFFSET('Neighborhood Characteristics'!$C$3,$A32,(HLOOKUP('Inputs and Outputs'!$D$11,'Neighborhood Characteristics'!$C$3:$BJ$51,49,FALSE)),$B32,1))&gt;0,J$1/2,0))</f>
        <v>15</v>
      </c>
      <c r="K32">
        <f ca="1">IF(HLOOKUP('Inputs and Outputs'!$D$12,'Neighborhood Characteristics'!$C$3:$BJ$49,'Neighborhood Matching Prefs'!$C32+1,FALSE)&gt;0,HLOOKUP('Inputs and Outputs'!$D$12,'Neighborhood Characteristics'!$C$3:$BJ$49,'Neighborhood Matching Prefs'!$C32+1,FALSE)*K$1,IF(SUM(OFFSET('Neighborhood Characteristics'!$C$3,$A32,(HLOOKUP('Inputs and Outputs'!$D$12,'Neighborhood Characteristics'!$C$3:$BJ$51,49,FALSE)),$B32,1))&gt;0,K$1/2,0))</f>
        <v>5</v>
      </c>
      <c r="L32">
        <f ca="1">IF(HLOOKUP('Inputs and Outputs'!$D$13,'Neighborhood Characteristics'!$C$3:$BJ$49,'Neighborhood Matching Prefs'!$C32+1,FALSE)&gt;0,HLOOKUP('Inputs and Outputs'!$D$13,'Neighborhood Characteristics'!$C$3:$BJ$49,'Neighborhood Matching Prefs'!$C32+1,FALSE)*L$1,IF(SUM(OFFSET('Neighborhood Characteristics'!$C$3,$A32,(HLOOKUP('Inputs and Outputs'!$D$13,'Neighborhood Characteristics'!$C$3:$BJ$51,49,FALSE)),$B32,1))&gt;0,L$1/2,0))</f>
        <v>5</v>
      </c>
      <c r="M32">
        <f ca="1">IF(HLOOKUP('Inputs and Outputs'!$D$14,'Neighborhood Characteristics'!$C$3:$BJ$49,'Neighborhood Matching Prefs'!$C32+1,FALSE)&gt;0,HLOOKUP('Inputs and Outputs'!$D$14,'Neighborhood Characteristics'!$C$3:$BJ$49,'Neighborhood Matching Prefs'!$C32+1,FALSE)*M$1,IF(SUM(OFFSET('Neighborhood Characteristics'!$C$3,$A32,(HLOOKUP('Inputs and Outputs'!$D$14,'Neighborhood Characteristics'!$C$3:$BJ$51,49,FALSE)),$B32,1))&gt;0,M$1/2,0))</f>
        <v>0</v>
      </c>
      <c r="N32">
        <f ca="1">IF(HLOOKUP('Inputs and Outputs'!$D$15,'Neighborhood Characteristics'!$C$3:$BJ$49,'Neighborhood Matching Prefs'!$C32+1,FALSE)&gt;0,HLOOKUP('Inputs and Outputs'!$D$15,'Neighborhood Characteristics'!$C$3:$BJ$49,'Neighborhood Matching Prefs'!$C32+1,FALSE)*N$1,IF(SUM(OFFSET('Neighborhood Characteristics'!$C$3,$A32,(HLOOKUP('Inputs and Outputs'!$D$15,'Neighborhood Characteristics'!$C$3:$BJ$51,49,FALSE)),$B32,1))&gt;0,N$1/2,0))</f>
        <v>0</v>
      </c>
      <c r="O32">
        <f ca="1">IF(HLOOKUP('Inputs and Outputs'!$D$16,'Neighborhood Characteristics'!$C$3:$BJ$49,'Neighborhood Matching Prefs'!$C32+1,FALSE)&gt;0,HLOOKUP('Inputs and Outputs'!$D$16,'Neighborhood Characteristics'!$C$3:$BJ$49,'Neighborhood Matching Prefs'!$C32+1,FALSE)*O$1,IF(SUM(OFFSET('Neighborhood Characteristics'!$C$3,$A32,(HLOOKUP('Inputs and Outputs'!$D$16,'Neighborhood Characteristics'!$C$3:$BJ$51,49,FALSE)),$B32,1))&gt;0,O$1/2,0))</f>
        <v>10</v>
      </c>
      <c r="P32">
        <f ca="1">IF(HLOOKUP('Inputs and Outputs'!$D$17,'Neighborhood Characteristics'!$C$3:$BJ$49,'Neighborhood Matching Prefs'!$C32+1,FALSE)&gt;0,HLOOKUP('Inputs and Outputs'!$D$17,'Neighborhood Characteristics'!$C$3:$BJ$49,'Neighborhood Matching Prefs'!$C32+1,FALSE)*P$1,IF(SUM(OFFSET('Neighborhood Characteristics'!$C$3,$A32,(HLOOKUP('Inputs and Outputs'!$D$17,'Neighborhood Characteristics'!$C$3:$BJ$51,49,FALSE)),$B32,1))&gt;0,P$1/2,0))</f>
        <v>10</v>
      </c>
      <c r="Q32" s="78">
        <f>IFERROR(HLOOKUP(D32,'Commuter Model'!$C$12:$AS$61,50,FALSE),0)*$Q$1</f>
        <v>0</v>
      </c>
      <c r="R32">
        <f t="shared" ca="1" si="0"/>
        <v>67.5</v>
      </c>
      <c r="S32">
        <f t="shared" ca="1" si="1"/>
        <v>35</v>
      </c>
      <c r="T32">
        <f ca="1">IF(COUNTIF($S$2:S31,S32)&gt;0,COUNTIF($S$2:S31,S32)+S32,S32)</f>
        <v>35</v>
      </c>
      <c r="U32" t="s">
        <v>63</v>
      </c>
    </row>
    <row r="33" spans="1:21">
      <c r="A33">
        <v>27</v>
      </c>
      <c r="B33">
        <v>5</v>
      </c>
      <c r="C33">
        <f t="shared" si="2"/>
        <v>30</v>
      </c>
      <c r="D33" s="14" t="s">
        <v>157</v>
      </c>
      <c r="E33">
        <f ca="1">IF(HLOOKUP('Inputs and Outputs'!$D$6,'Neighborhood Characteristics'!$C$3:$BJ$49,'Neighborhood Matching Prefs'!$C33+1,FALSE)&gt;0,HLOOKUP('Inputs and Outputs'!$D$6,'Neighborhood Characteristics'!$C$3:$BJ$49,'Neighborhood Matching Prefs'!$C33+1,FALSE)*E$1,IF(SUM(OFFSET('Neighborhood Characteristics'!$C$3,$A33,(HLOOKUP('Inputs and Outputs'!$D$6,'Neighborhood Characteristics'!$C$3:$BJ$51,49,FALSE)),$B33,1))&gt;0,E$1/2,0))</f>
        <v>0</v>
      </c>
      <c r="F33">
        <f ca="1">IF(HLOOKUP('Inputs and Outputs'!$D$7,'Neighborhood Characteristics'!$C$3:$BJ$49,'Neighborhood Matching Prefs'!$C33+1,FALSE)&gt;0,HLOOKUP('Inputs and Outputs'!$D$7,'Neighborhood Characteristics'!$C$3:$BJ$49,'Neighborhood Matching Prefs'!$C33+1,FALSE)*F$1,IF(SUM(OFFSET('Neighborhood Characteristics'!$C$3,$A33,(HLOOKUP('Inputs and Outputs'!$D$7,'Neighborhood Characteristics'!$C$3:$BJ$51,49,FALSE)),$B33,1))&gt;0,F$1/2,0))</f>
        <v>7.5</v>
      </c>
      <c r="G33">
        <f ca="1">IF(HLOOKUP('Inputs and Outputs'!$D$8,'Neighborhood Characteristics'!$C$3:$BJ$49,'Neighborhood Matching Prefs'!$C33+1,FALSE)&gt;0,HLOOKUP('Inputs and Outputs'!$D$8,'Neighborhood Characteristics'!$C$3:$BJ$49,'Neighborhood Matching Prefs'!$C33+1,FALSE)*G$1,IF(SUM(OFFSET('Neighborhood Characteristics'!$C$3,$A33,(HLOOKUP('Inputs and Outputs'!$D$8,'Neighborhood Characteristics'!$C$3:$BJ$51,49,FALSE)),$B33,1))&gt;0,G$1/2,0))</f>
        <v>0</v>
      </c>
      <c r="H33">
        <f ca="1">IF(HLOOKUP('Inputs and Outputs'!$D$9,'Neighborhood Characteristics'!$C$3:$BJ$49,'Neighborhood Matching Prefs'!$C33+1,FALSE)&gt;0,HLOOKUP('Inputs and Outputs'!$D$9,'Neighborhood Characteristics'!$C$3:$BJ$49,'Neighborhood Matching Prefs'!$C33+1,FALSE)*H$1,IF(SUM(OFFSET('Neighborhood Characteristics'!$C$3,$A33,(HLOOKUP('Inputs and Outputs'!$D$9,'Neighborhood Characteristics'!$C$3:$BJ$51,49,FALSE)),$B33,1))&gt;0,H$1/2,0))</f>
        <v>15</v>
      </c>
      <c r="I33">
        <f ca="1">IF(HLOOKUP('Inputs and Outputs'!$D$10,'Neighborhood Characteristics'!$C$3:$BJ$49,'Neighborhood Matching Prefs'!$C33+1,FALSE)&gt;0,HLOOKUP('Inputs and Outputs'!$D$10,'Neighborhood Characteristics'!$C$3:$BJ$49,'Neighborhood Matching Prefs'!$C33+1,FALSE)*I$1,IF(SUM(OFFSET('Neighborhood Characteristics'!$C$3,$A33,(HLOOKUP('Inputs and Outputs'!$D$10,'Neighborhood Characteristics'!$C$3:$BJ$51,49,FALSE)),$B33,1))&gt;0,I$1/2,0))</f>
        <v>0</v>
      </c>
      <c r="J33">
        <f ca="1">IF(HLOOKUP('Inputs and Outputs'!$D$11,'Neighborhood Characteristics'!$C$3:$BJ$49,'Neighborhood Matching Prefs'!$C33+1,FALSE)&gt;0,HLOOKUP('Inputs and Outputs'!$D$11,'Neighborhood Characteristics'!$C$3:$BJ$49,'Neighborhood Matching Prefs'!$C33+1,FALSE)*J$1,IF(SUM(OFFSET('Neighborhood Characteristics'!$C$3,$A33,(HLOOKUP('Inputs and Outputs'!$D$11,'Neighborhood Characteristics'!$C$3:$BJ$51,49,FALSE)),$B33,1))&gt;0,J$1/2,0))</f>
        <v>15</v>
      </c>
      <c r="K33">
        <f ca="1">IF(HLOOKUP('Inputs and Outputs'!$D$12,'Neighborhood Characteristics'!$C$3:$BJ$49,'Neighborhood Matching Prefs'!$C33+1,FALSE)&gt;0,HLOOKUP('Inputs and Outputs'!$D$12,'Neighborhood Characteristics'!$C$3:$BJ$49,'Neighborhood Matching Prefs'!$C33+1,FALSE)*K$1,IF(SUM(OFFSET('Neighborhood Characteristics'!$C$3,$A33,(HLOOKUP('Inputs and Outputs'!$D$12,'Neighborhood Characteristics'!$C$3:$BJ$51,49,FALSE)),$B33,1))&gt;0,K$1/2,0))</f>
        <v>5</v>
      </c>
      <c r="L33">
        <f ca="1">IF(HLOOKUP('Inputs and Outputs'!$D$13,'Neighborhood Characteristics'!$C$3:$BJ$49,'Neighborhood Matching Prefs'!$C33+1,FALSE)&gt;0,HLOOKUP('Inputs and Outputs'!$D$13,'Neighborhood Characteristics'!$C$3:$BJ$49,'Neighborhood Matching Prefs'!$C33+1,FALSE)*L$1,IF(SUM(OFFSET('Neighborhood Characteristics'!$C$3,$A33,(HLOOKUP('Inputs and Outputs'!$D$13,'Neighborhood Characteristics'!$C$3:$BJ$51,49,FALSE)),$B33,1))&gt;0,L$1/2,0))</f>
        <v>5</v>
      </c>
      <c r="M33">
        <f ca="1">IF(HLOOKUP('Inputs and Outputs'!$D$14,'Neighborhood Characteristics'!$C$3:$BJ$49,'Neighborhood Matching Prefs'!$C33+1,FALSE)&gt;0,HLOOKUP('Inputs and Outputs'!$D$14,'Neighborhood Characteristics'!$C$3:$BJ$49,'Neighborhood Matching Prefs'!$C33+1,FALSE)*M$1,IF(SUM(OFFSET('Neighborhood Characteristics'!$C$3,$A33,(HLOOKUP('Inputs and Outputs'!$D$14,'Neighborhood Characteristics'!$C$3:$BJ$51,49,FALSE)),$B33,1))&gt;0,M$1/2,0))</f>
        <v>0</v>
      </c>
      <c r="N33">
        <f ca="1">IF(HLOOKUP('Inputs and Outputs'!$D$15,'Neighborhood Characteristics'!$C$3:$BJ$49,'Neighborhood Matching Prefs'!$C33+1,FALSE)&gt;0,HLOOKUP('Inputs and Outputs'!$D$15,'Neighborhood Characteristics'!$C$3:$BJ$49,'Neighborhood Matching Prefs'!$C33+1,FALSE)*N$1,IF(SUM(OFFSET('Neighborhood Characteristics'!$C$3,$A33,(HLOOKUP('Inputs and Outputs'!$D$15,'Neighborhood Characteristics'!$C$3:$BJ$51,49,FALSE)),$B33,1))&gt;0,N$1/2,0))</f>
        <v>0</v>
      </c>
      <c r="O33">
        <f ca="1">IF(HLOOKUP('Inputs and Outputs'!$D$16,'Neighborhood Characteristics'!$C$3:$BJ$49,'Neighborhood Matching Prefs'!$C33+1,FALSE)&gt;0,HLOOKUP('Inputs and Outputs'!$D$16,'Neighborhood Characteristics'!$C$3:$BJ$49,'Neighborhood Matching Prefs'!$C33+1,FALSE)*O$1,IF(SUM(OFFSET('Neighborhood Characteristics'!$C$3,$A33,(HLOOKUP('Inputs and Outputs'!$D$16,'Neighborhood Characteristics'!$C$3:$BJ$51,49,FALSE)),$B33,1))&gt;0,O$1/2,0))</f>
        <v>10</v>
      </c>
      <c r="P33">
        <f ca="1">IF(HLOOKUP('Inputs and Outputs'!$D$17,'Neighborhood Characteristics'!$C$3:$BJ$49,'Neighborhood Matching Prefs'!$C33+1,FALSE)&gt;0,HLOOKUP('Inputs and Outputs'!$D$17,'Neighborhood Characteristics'!$C$3:$BJ$49,'Neighborhood Matching Prefs'!$C33+1,FALSE)*P$1,IF(SUM(OFFSET('Neighborhood Characteristics'!$C$3,$A33,(HLOOKUP('Inputs and Outputs'!$D$17,'Neighborhood Characteristics'!$C$3:$BJ$51,49,FALSE)),$B33,1))&gt;0,P$1/2,0))</f>
        <v>5</v>
      </c>
      <c r="Q33" s="78">
        <f>IFERROR(HLOOKUP(D33,'Commuter Model'!$C$12:$AS$61,50,FALSE),0)*$Q$1</f>
        <v>14.999999999999998</v>
      </c>
      <c r="R33">
        <f t="shared" ca="1" si="0"/>
        <v>77.5</v>
      </c>
      <c r="S33">
        <f t="shared" ca="1" si="1"/>
        <v>33</v>
      </c>
      <c r="T33">
        <f ca="1">IF(COUNTIF($S$2:S32,S33)&gt;0,COUNTIF($S$2:S32,S33)+S33,S33)</f>
        <v>33</v>
      </c>
      <c r="U33" t="s">
        <v>157</v>
      </c>
    </row>
    <row r="34" spans="1:21">
      <c r="A34">
        <v>27</v>
      </c>
      <c r="B34">
        <v>5</v>
      </c>
      <c r="C34">
        <f t="shared" si="2"/>
        <v>31</v>
      </c>
      <c r="D34" s="14" t="s">
        <v>64</v>
      </c>
      <c r="E34">
        <f ca="1">IF(HLOOKUP('Inputs and Outputs'!$D$6,'Neighborhood Characteristics'!$C$3:$BJ$49,'Neighborhood Matching Prefs'!$C34+1,FALSE)&gt;0,HLOOKUP('Inputs and Outputs'!$D$6,'Neighborhood Characteristics'!$C$3:$BJ$49,'Neighborhood Matching Prefs'!$C34+1,FALSE)*E$1,IF(SUM(OFFSET('Neighborhood Characteristics'!$C$3,$A34,(HLOOKUP('Inputs and Outputs'!$D$6,'Neighborhood Characteristics'!$C$3:$BJ$51,49,FALSE)),$B34,1))&gt;0,E$1/2,0))</f>
        <v>0</v>
      </c>
      <c r="F34">
        <f ca="1">IF(HLOOKUP('Inputs and Outputs'!$D$7,'Neighborhood Characteristics'!$C$3:$BJ$49,'Neighborhood Matching Prefs'!$C34+1,FALSE)&gt;0,HLOOKUP('Inputs and Outputs'!$D$7,'Neighborhood Characteristics'!$C$3:$BJ$49,'Neighborhood Matching Prefs'!$C34+1,FALSE)*F$1,IF(SUM(OFFSET('Neighborhood Characteristics'!$C$3,$A34,(HLOOKUP('Inputs and Outputs'!$D$7,'Neighborhood Characteristics'!$C$3:$BJ$51,49,FALSE)),$B34,1))&gt;0,F$1/2,0))</f>
        <v>7.5</v>
      </c>
      <c r="G34">
        <f ca="1">IF(HLOOKUP('Inputs and Outputs'!$D$8,'Neighborhood Characteristics'!$C$3:$BJ$49,'Neighborhood Matching Prefs'!$C34+1,FALSE)&gt;0,HLOOKUP('Inputs and Outputs'!$D$8,'Neighborhood Characteristics'!$C$3:$BJ$49,'Neighborhood Matching Prefs'!$C34+1,FALSE)*G$1,IF(SUM(OFFSET('Neighborhood Characteristics'!$C$3,$A34,(HLOOKUP('Inputs and Outputs'!$D$8,'Neighborhood Characteristics'!$C$3:$BJ$51,49,FALSE)),$B34,1))&gt;0,G$1/2,0))</f>
        <v>0</v>
      </c>
      <c r="H34">
        <f ca="1">IF(HLOOKUP('Inputs and Outputs'!$D$9,'Neighborhood Characteristics'!$C$3:$BJ$49,'Neighborhood Matching Prefs'!$C34+1,FALSE)&gt;0,HLOOKUP('Inputs and Outputs'!$D$9,'Neighborhood Characteristics'!$C$3:$BJ$49,'Neighborhood Matching Prefs'!$C34+1,FALSE)*H$1,IF(SUM(OFFSET('Neighborhood Characteristics'!$C$3,$A34,(HLOOKUP('Inputs and Outputs'!$D$9,'Neighborhood Characteristics'!$C$3:$BJ$51,49,FALSE)),$B34,1))&gt;0,H$1/2,0))</f>
        <v>15</v>
      </c>
      <c r="I34">
        <f ca="1">IF(HLOOKUP('Inputs and Outputs'!$D$10,'Neighborhood Characteristics'!$C$3:$BJ$49,'Neighborhood Matching Prefs'!$C34+1,FALSE)&gt;0,HLOOKUP('Inputs and Outputs'!$D$10,'Neighborhood Characteristics'!$C$3:$BJ$49,'Neighborhood Matching Prefs'!$C34+1,FALSE)*I$1,IF(SUM(OFFSET('Neighborhood Characteristics'!$C$3,$A34,(HLOOKUP('Inputs and Outputs'!$D$10,'Neighborhood Characteristics'!$C$3:$BJ$51,49,FALSE)),$B34,1))&gt;0,I$1/2,0))</f>
        <v>0</v>
      </c>
      <c r="J34">
        <f ca="1">IF(HLOOKUP('Inputs and Outputs'!$D$11,'Neighborhood Characteristics'!$C$3:$BJ$49,'Neighborhood Matching Prefs'!$C34+1,FALSE)&gt;0,HLOOKUP('Inputs and Outputs'!$D$11,'Neighborhood Characteristics'!$C$3:$BJ$49,'Neighborhood Matching Prefs'!$C34+1,FALSE)*J$1,IF(SUM(OFFSET('Neighborhood Characteristics'!$C$3,$A34,(HLOOKUP('Inputs and Outputs'!$D$11,'Neighborhood Characteristics'!$C$3:$BJ$51,49,FALSE)),$B34,1))&gt;0,J$1/2,0))</f>
        <v>15</v>
      </c>
      <c r="K34">
        <f ca="1">IF(HLOOKUP('Inputs and Outputs'!$D$12,'Neighborhood Characteristics'!$C$3:$BJ$49,'Neighborhood Matching Prefs'!$C34+1,FALSE)&gt;0,HLOOKUP('Inputs and Outputs'!$D$12,'Neighborhood Characteristics'!$C$3:$BJ$49,'Neighborhood Matching Prefs'!$C34+1,FALSE)*K$1,IF(SUM(OFFSET('Neighborhood Characteristics'!$C$3,$A34,(HLOOKUP('Inputs and Outputs'!$D$12,'Neighborhood Characteristics'!$C$3:$BJ$51,49,FALSE)),$B34,1))&gt;0,K$1/2,0))</f>
        <v>10</v>
      </c>
      <c r="L34">
        <f ca="1">IF(HLOOKUP('Inputs and Outputs'!$D$13,'Neighborhood Characteristics'!$C$3:$BJ$49,'Neighborhood Matching Prefs'!$C34+1,FALSE)&gt;0,HLOOKUP('Inputs and Outputs'!$D$13,'Neighborhood Characteristics'!$C$3:$BJ$49,'Neighborhood Matching Prefs'!$C34+1,FALSE)*L$1,IF(SUM(OFFSET('Neighborhood Characteristics'!$C$3,$A34,(HLOOKUP('Inputs and Outputs'!$D$13,'Neighborhood Characteristics'!$C$3:$BJ$51,49,FALSE)),$B34,1))&gt;0,L$1/2,0))</f>
        <v>5</v>
      </c>
      <c r="M34">
        <f ca="1">IF(HLOOKUP('Inputs and Outputs'!$D$14,'Neighborhood Characteristics'!$C$3:$BJ$49,'Neighborhood Matching Prefs'!$C34+1,FALSE)&gt;0,HLOOKUP('Inputs and Outputs'!$D$14,'Neighborhood Characteristics'!$C$3:$BJ$49,'Neighborhood Matching Prefs'!$C34+1,FALSE)*M$1,IF(SUM(OFFSET('Neighborhood Characteristics'!$C$3,$A34,(HLOOKUP('Inputs and Outputs'!$D$14,'Neighborhood Characteristics'!$C$3:$BJ$51,49,FALSE)),$B34,1))&gt;0,M$1/2,0))</f>
        <v>0</v>
      </c>
      <c r="N34">
        <f ca="1">IF(HLOOKUP('Inputs and Outputs'!$D$15,'Neighborhood Characteristics'!$C$3:$BJ$49,'Neighborhood Matching Prefs'!$C34+1,FALSE)&gt;0,HLOOKUP('Inputs and Outputs'!$D$15,'Neighborhood Characteristics'!$C$3:$BJ$49,'Neighborhood Matching Prefs'!$C34+1,FALSE)*N$1,IF(SUM(OFFSET('Neighborhood Characteristics'!$C$3,$A34,(HLOOKUP('Inputs and Outputs'!$D$15,'Neighborhood Characteristics'!$C$3:$BJ$51,49,FALSE)),$B34,1))&gt;0,N$1/2,0))</f>
        <v>0</v>
      </c>
      <c r="O34">
        <f ca="1">IF(HLOOKUP('Inputs and Outputs'!$D$16,'Neighborhood Characteristics'!$C$3:$BJ$49,'Neighborhood Matching Prefs'!$C34+1,FALSE)&gt;0,HLOOKUP('Inputs and Outputs'!$D$16,'Neighborhood Characteristics'!$C$3:$BJ$49,'Neighborhood Matching Prefs'!$C34+1,FALSE)*O$1,IF(SUM(OFFSET('Neighborhood Characteristics'!$C$3,$A34,(HLOOKUP('Inputs and Outputs'!$D$16,'Neighborhood Characteristics'!$C$3:$BJ$51,49,FALSE)),$B34,1))&gt;0,O$1/2,0))</f>
        <v>10</v>
      </c>
      <c r="P34">
        <f ca="1">IF(HLOOKUP('Inputs and Outputs'!$D$17,'Neighborhood Characteristics'!$C$3:$BJ$49,'Neighborhood Matching Prefs'!$C34+1,FALSE)&gt;0,HLOOKUP('Inputs and Outputs'!$D$17,'Neighborhood Characteristics'!$C$3:$BJ$49,'Neighborhood Matching Prefs'!$C34+1,FALSE)*P$1,IF(SUM(OFFSET('Neighborhood Characteristics'!$C$3,$A34,(HLOOKUP('Inputs and Outputs'!$D$17,'Neighborhood Characteristics'!$C$3:$BJ$51,49,FALSE)),$B34,1))&gt;0,P$1/2,0))</f>
        <v>5</v>
      </c>
      <c r="Q34" s="78">
        <f>IFERROR(HLOOKUP(D34,'Commuter Model'!$C$12:$AS$61,50,FALSE),0)*$Q$1</f>
        <v>0</v>
      </c>
      <c r="R34">
        <f t="shared" ca="1" si="0"/>
        <v>67.5</v>
      </c>
      <c r="S34">
        <f t="shared" ca="1" si="1"/>
        <v>35</v>
      </c>
      <c r="T34">
        <f ca="1">IF(COUNTIF($S$2:S33,S34)&gt;0,COUNTIF($S$2:S33,S34)+S34,S34)</f>
        <v>36</v>
      </c>
      <c r="U34" t="s">
        <v>64</v>
      </c>
    </row>
    <row r="35" spans="1:21">
      <c r="A35">
        <v>32</v>
      </c>
      <c r="B35">
        <v>4</v>
      </c>
      <c r="C35">
        <f t="shared" si="2"/>
        <v>32</v>
      </c>
      <c r="D35" s="15" t="s">
        <v>65</v>
      </c>
      <c r="E35">
        <f ca="1">IF(HLOOKUP('Inputs and Outputs'!$D$6,'Neighborhood Characteristics'!$C$3:$BJ$49,'Neighborhood Matching Prefs'!$C35+1,FALSE)&gt;0,HLOOKUP('Inputs and Outputs'!$D$6,'Neighborhood Characteristics'!$C$3:$BJ$49,'Neighborhood Matching Prefs'!$C35+1,FALSE)*E$1,IF(SUM(OFFSET('Neighborhood Characteristics'!$C$3,$A35,(HLOOKUP('Inputs and Outputs'!$D$6,'Neighborhood Characteristics'!$C$3:$BJ$51,49,FALSE)),$B35,1))&gt;0,E$1/2,0))</f>
        <v>5</v>
      </c>
      <c r="F35">
        <f ca="1">IF(HLOOKUP('Inputs and Outputs'!$D$7,'Neighborhood Characteristics'!$C$3:$BJ$49,'Neighborhood Matching Prefs'!$C35+1,FALSE)&gt;0,HLOOKUP('Inputs and Outputs'!$D$7,'Neighborhood Characteristics'!$C$3:$BJ$49,'Neighborhood Matching Prefs'!$C35+1,FALSE)*F$1,IF(SUM(OFFSET('Neighborhood Characteristics'!$C$3,$A35,(HLOOKUP('Inputs and Outputs'!$D$7,'Neighborhood Characteristics'!$C$3:$BJ$51,49,FALSE)),$B35,1))&gt;0,F$1/2,0))</f>
        <v>7.5</v>
      </c>
      <c r="G35">
        <f ca="1">IF(HLOOKUP('Inputs and Outputs'!$D$8,'Neighborhood Characteristics'!$C$3:$BJ$49,'Neighborhood Matching Prefs'!$C35+1,FALSE)&gt;0,HLOOKUP('Inputs and Outputs'!$D$8,'Neighborhood Characteristics'!$C$3:$BJ$49,'Neighborhood Matching Prefs'!$C35+1,FALSE)*G$1,IF(SUM(OFFSET('Neighborhood Characteristics'!$C$3,$A35,(HLOOKUP('Inputs and Outputs'!$D$8,'Neighborhood Characteristics'!$C$3:$BJ$51,49,FALSE)),$B35,1))&gt;0,G$1/2,0))</f>
        <v>5</v>
      </c>
      <c r="H35">
        <f ca="1">IF(HLOOKUP('Inputs and Outputs'!$D$9,'Neighborhood Characteristics'!$C$3:$BJ$49,'Neighborhood Matching Prefs'!$C35+1,FALSE)&gt;0,HLOOKUP('Inputs and Outputs'!$D$9,'Neighborhood Characteristics'!$C$3:$BJ$49,'Neighborhood Matching Prefs'!$C35+1,FALSE)*H$1,IF(SUM(OFFSET('Neighborhood Characteristics'!$C$3,$A35,(HLOOKUP('Inputs and Outputs'!$D$9,'Neighborhood Characteristics'!$C$3:$BJ$51,49,FALSE)),$B35,1))&gt;0,H$1/2,0))</f>
        <v>15</v>
      </c>
      <c r="I35">
        <f ca="1">IF(HLOOKUP('Inputs and Outputs'!$D$10,'Neighborhood Characteristics'!$C$3:$BJ$49,'Neighborhood Matching Prefs'!$C35+1,FALSE)&gt;0,HLOOKUP('Inputs and Outputs'!$D$10,'Neighborhood Characteristics'!$C$3:$BJ$49,'Neighborhood Matching Prefs'!$C35+1,FALSE)*I$1,IF(SUM(OFFSET('Neighborhood Characteristics'!$C$3,$A35,(HLOOKUP('Inputs and Outputs'!$D$10,'Neighborhood Characteristics'!$C$3:$BJ$51,49,FALSE)),$B35,1))&gt;0,I$1/2,0))</f>
        <v>0</v>
      </c>
      <c r="J35">
        <f ca="1">IF(HLOOKUP('Inputs and Outputs'!$D$11,'Neighborhood Characteristics'!$C$3:$BJ$49,'Neighborhood Matching Prefs'!$C35+1,FALSE)&gt;0,HLOOKUP('Inputs and Outputs'!$D$11,'Neighborhood Characteristics'!$C$3:$BJ$49,'Neighborhood Matching Prefs'!$C35+1,FALSE)*J$1,IF(SUM(OFFSET('Neighborhood Characteristics'!$C$3,$A35,(HLOOKUP('Inputs and Outputs'!$D$11,'Neighborhood Characteristics'!$C$3:$BJ$51,49,FALSE)),$B35,1))&gt;0,J$1/2,0))</f>
        <v>15</v>
      </c>
      <c r="K35">
        <f ca="1">IF(HLOOKUP('Inputs and Outputs'!$D$12,'Neighborhood Characteristics'!$C$3:$BJ$49,'Neighborhood Matching Prefs'!$C35+1,FALSE)&gt;0,HLOOKUP('Inputs and Outputs'!$D$12,'Neighborhood Characteristics'!$C$3:$BJ$49,'Neighborhood Matching Prefs'!$C35+1,FALSE)*K$1,IF(SUM(OFFSET('Neighborhood Characteristics'!$C$3,$A35,(HLOOKUP('Inputs and Outputs'!$D$12,'Neighborhood Characteristics'!$C$3:$BJ$51,49,FALSE)),$B35,1))&gt;0,K$1/2,0))</f>
        <v>10</v>
      </c>
      <c r="L35">
        <f ca="1">IF(HLOOKUP('Inputs and Outputs'!$D$13,'Neighborhood Characteristics'!$C$3:$BJ$49,'Neighborhood Matching Prefs'!$C35+1,FALSE)&gt;0,HLOOKUP('Inputs and Outputs'!$D$13,'Neighborhood Characteristics'!$C$3:$BJ$49,'Neighborhood Matching Prefs'!$C35+1,FALSE)*L$1,IF(SUM(OFFSET('Neighborhood Characteristics'!$C$3,$A35,(HLOOKUP('Inputs and Outputs'!$D$13,'Neighborhood Characteristics'!$C$3:$BJ$51,49,FALSE)),$B35,1))&gt;0,L$1/2,0))</f>
        <v>0</v>
      </c>
      <c r="M35">
        <f ca="1">IF(HLOOKUP('Inputs and Outputs'!$D$14,'Neighborhood Characteristics'!$C$3:$BJ$49,'Neighborhood Matching Prefs'!$C35+1,FALSE)&gt;0,HLOOKUP('Inputs and Outputs'!$D$14,'Neighborhood Characteristics'!$C$3:$BJ$49,'Neighborhood Matching Prefs'!$C35+1,FALSE)*M$1,IF(SUM(OFFSET('Neighborhood Characteristics'!$C$3,$A35,(HLOOKUP('Inputs and Outputs'!$D$14,'Neighborhood Characteristics'!$C$3:$BJ$51,49,FALSE)),$B35,1))&gt;0,M$1/2,0))</f>
        <v>0</v>
      </c>
      <c r="N35">
        <f ca="1">IF(HLOOKUP('Inputs and Outputs'!$D$15,'Neighborhood Characteristics'!$C$3:$BJ$49,'Neighborhood Matching Prefs'!$C35+1,FALSE)&gt;0,HLOOKUP('Inputs and Outputs'!$D$15,'Neighborhood Characteristics'!$C$3:$BJ$49,'Neighborhood Matching Prefs'!$C35+1,FALSE)*N$1,IF(SUM(OFFSET('Neighborhood Characteristics'!$C$3,$A35,(HLOOKUP('Inputs and Outputs'!$D$15,'Neighborhood Characteristics'!$C$3:$BJ$51,49,FALSE)),$B35,1))&gt;0,N$1/2,0))</f>
        <v>0</v>
      </c>
      <c r="O35">
        <f ca="1">IF(HLOOKUP('Inputs and Outputs'!$D$16,'Neighborhood Characteristics'!$C$3:$BJ$49,'Neighborhood Matching Prefs'!$C35+1,FALSE)&gt;0,HLOOKUP('Inputs and Outputs'!$D$16,'Neighborhood Characteristics'!$C$3:$BJ$49,'Neighborhood Matching Prefs'!$C35+1,FALSE)*O$1,IF(SUM(OFFSET('Neighborhood Characteristics'!$C$3,$A35,(HLOOKUP('Inputs and Outputs'!$D$16,'Neighborhood Characteristics'!$C$3:$BJ$51,49,FALSE)),$B35,1))&gt;0,O$1/2,0))</f>
        <v>10</v>
      </c>
      <c r="P35">
        <f ca="1">IF(HLOOKUP('Inputs and Outputs'!$D$17,'Neighborhood Characteristics'!$C$3:$BJ$49,'Neighborhood Matching Prefs'!$C35+1,FALSE)&gt;0,HLOOKUP('Inputs and Outputs'!$D$17,'Neighborhood Characteristics'!$C$3:$BJ$49,'Neighborhood Matching Prefs'!$C35+1,FALSE)*P$1,IF(SUM(OFFSET('Neighborhood Characteristics'!$C$3,$A35,(HLOOKUP('Inputs and Outputs'!$D$17,'Neighborhood Characteristics'!$C$3:$BJ$51,49,FALSE)),$B35,1))&gt;0,P$1/2,0))</f>
        <v>10</v>
      </c>
      <c r="Q35" s="78">
        <f>IFERROR(HLOOKUP(D35,'Commuter Model'!$C$12:$AS$61,50,FALSE),0)*$Q$1</f>
        <v>14.999999999999998</v>
      </c>
      <c r="R35">
        <f t="shared" ca="1" si="0"/>
        <v>92.5</v>
      </c>
      <c r="S35">
        <f t="shared" ca="1" si="1"/>
        <v>15</v>
      </c>
      <c r="T35">
        <f ca="1">IF(COUNTIF($S$2:S34,S35)&gt;0,COUNTIF($S$2:S34,S35)+S35,S35)</f>
        <v>16</v>
      </c>
      <c r="U35" t="s">
        <v>65</v>
      </c>
    </row>
    <row r="36" spans="1:21">
      <c r="A36">
        <v>32</v>
      </c>
      <c r="B36">
        <v>4</v>
      </c>
      <c r="C36">
        <f t="shared" si="2"/>
        <v>33</v>
      </c>
      <c r="D36" s="15" t="s">
        <v>153</v>
      </c>
      <c r="E36">
        <f ca="1">IF(HLOOKUP('Inputs and Outputs'!$D$6,'Neighborhood Characteristics'!$C$3:$BJ$49,'Neighborhood Matching Prefs'!$C36+1,FALSE)&gt;0,HLOOKUP('Inputs and Outputs'!$D$6,'Neighborhood Characteristics'!$C$3:$BJ$49,'Neighborhood Matching Prefs'!$C36+1,FALSE)*E$1,IF(SUM(OFFSET('Neighborhood Characteristics'!$C$3,$A36,(HLOOKUP('Inputs and Outputs'!$D$6,'Neighborhood Characteristics'!$C$3:$BJ$51,49,FALSE)),$B36,1))&gt;0,E$1/2,0))</f>
        <v>10</v>
      </c>
      <c r="F36">
        <f ca="1">IF(HLOOKUP('Inputs and Outputs'!$D$7,'Neighborhood Characteristics'!$C$3:$BJ$49,'Neighborhood Matching Prefs'!$C36+1,FALSE)&gt;0,HLOOKUP('Inputs and Outputs'!$D$7,'Neighborhood Characteristics'!$C$3:$BJ$49,'Neighborhood Matching Prefs'!$C36+1,FALSE)*F$1,IF(SUM(OFFSET('Neighborhood Characteristics'!$C$3,$A36,(HLOOKUP('Inputs and Outputs'!$D$7,'Neighborhood Characteristics'!$C$3:$BJ$51,49,FALSE)),$B36,1))&gt;0,F$1/2,0))</f>
        <v>15</v>
      </c>
      <c r="G36">
        <f ca="1">IF(HLOOKUP('Inputs and Outputs'!$D$8,'Neighborhood Characteristics'!$C$3:$BJ$49,'Neighborhood Matching Prefs'!$C36+1,FALSE)&gt;0,HLOOKUP('Inputs and Outputs'!$D$8,'Neighborhood Characteristics'!$C$3:$BJ$49,'Neighborhood Matching Prefs'!$C36+1,FALSE)*G$1,IF(SUM(OFFSET('Neighborhood Characteristics'!$C$3,$A36,(HLOOKUP('Inputs and Outputs'!$D$8,'Neighborhood Characteristics'!$C$3:$BJ$51,49,FALSE)),$B36,1))&gt;0,G$1/2,0))</f>
        <v>10</v>
      </c>
      <c r="H36">
        <f ca="1">IF(HLOOKUP('Inputs and Outputs'!$D$9,'Neighborhood Characteristics'!$C$3:$BJ$49,'Neighborhood Matching Prefs'!$C36+1,FALSE)&gt;0,HLOOKUP('Inputs and Outputs'!$D$9,'Neighborhood Characteristics'!$C$3:$BJ$49,'Neighborhood Matching Prefs'!$C36+1,FALSE)*H$1,IF(SUM(OFFSET('Neighborhood Characteristics'!$C$3,$A36,(HLOOKUP('Inputs and Outputs'!$D$9,'Neighborhood Characteristics'!$C$3:$BJ$51,49,FALSE)),$B36,1))&gt;0,H$1/2,0))</f>
        <v>15</v>
      </c>
      <c r="I36">
        <f ca="1">IF(HLOOKUP('Inputs and Outputs'!$D$10,'Neighborhood Characteristics'!$C$3:$BJ$49,'Neighborhood Matching Prefs'!$C36+1,FALSE)&gt;0,HLOOKUP('Inputs and Outputs'!$D$10,'Neighborhood Characteristics'!$C$3:$BJ$49,'Neighborhood Matching Prefs'!$C36+1,FALSE)*I$1,IF(SUM(OFFSET('Neighborhood Characteristics'!$C$3,$A36,(HLOOKUP('Inputs and Outputs'!$D$10,'Neighborhood Characteristics'!$C$3:$BJ$51,49,FALSE)),$B36,1))&gt;0,I$1/2,0))</f>
        <v>0</v>
      </c>
      <c r="J36">
        <f ca="1">IF(HLOOKUP('Inputs and Outputs'!$D$11,'Neighborhood Characteristics'!$C$3:$BJ$49,'Neighborhood Matching Prefs'!$C36+1,FALSE)&gt;0,HLOOKUP('Inputs and Outputs'!$D$11,'Neighborhood Characteristics'!$C$3:$BJ$49,'Neighborhood Matching Prefs'!$C36+1,FALSE)*J$1,IF(SUM(OFFSET('Neighborhood Characteristics'!$C$3,$A36,(HLOOKUP('Inputs and Outputs'!$D$11,'Neighborhood Characteristics'!$C$3:$BJ$51,49,FALSE)),$B36,1))&gt;0,J$1/2,0))</f>
        <v>15</v>
      </c>
      <c r="K36">
        <f ca="1">IF(HLOOKUP('Inputs and Outputs'!$D$12,'Neighborhood Characteristics'!$C$3:$BJ$49,'Neighborhood Matching Prefs'!$C36+1,FALSE)&gt;0,HLOOKUP('Inputs and Outputs'!$D$12,'Neighborhood Characteristics'!$C$3:$BJ$49,'Neighborhood Matching Prefs'!$C36+1,FALSE)*K$1,IF(SUM(OFFSET('Neighborhood Characteristics'!$C$3,$A36,(HLOOKUP('Inputs and Outputs'!$D$12,'Neighborhood Characteristics'!$C$3:$BJ$51,49,FALSE)),$B36,1))&gt;0,K$1/2,0))</f>
        <v>10</v>
      </c>
      <c r="L36">
        <f ca="1">IF(HLOOKUP('Inputs and Outputs'!$D$13,'Neighborhood Characteristics'!$C$3:$BJ$49,'Neighborhood Matching Prefs'!$C36+1,FALSE)&gt;0,HLOOKUP('Inputs and Outputs'!$D$13,'Neighborhood Characteristics'!$C$3:$BJ$49,'Neighborhood Matching Prefs'!$C36+1,FALSE)*L$1,IF(SUM(OFFSET('Neighborhood Characteristics'!$C$3,$A36,(HLOOKUP('Inputs and Outputs'!$D$13,'Neighborhood Characteristics'!$C$3:$BJ$51,49,FALSE)),$B36,1))&gt;0,L$1/2,0))</f>
        <v>0</v>
      </c>
      <c r="M36">
        <f ca="1">IF(HLOOKUP('Inputs and Outputs'!$D$14,'Neighborhood Characteristics'!$C$3:$BJ$49,'Neighborhood Matching Prefs'!$C36+1,FALSE)&gt;0,HLOOKUP('Inputs and Outputs'!$D$14,'Neighborhood Characteristics'!$C$3:$BJ$49,'Neighborhood Matching Prefs'!$C36+1,FALSE)*M$1,IF(SUM(OFFSET('Neighborhood Characteristics'!$C$3,$A36,(HLOOKUP('Inputs and Outputs'!$D$14,'Neighborhood Characteristics'!$C$3:$BJ$51,49,FALSE)),$B36,1))&gt;0,M$1/2,0))</f>
        <v>0</v>
      </c>
      <c r="N36">
        <f ca="1">IF(HLOOKUP('Inputs and Outputs'!$D$15,'Neighborhood Characteristics'!$C$3:$BJ$49,'Neighborhood Matching Prefs'!$C36+1,FALSE)&gt;0,HLOOKUP('Inputs and Outputs'!$D$15,'Neighborhood Characteristics'!$C$3:$BJ$49,'Neighborhood Matching Prefs'!$C36+1,FALSE)*N$1,IF(SUM(OFFSET('Neighborhood Characteristics'!$C$3,$A36,(HLOOKUP('Inputs and Outputs'!$D$15,'Neighborhood Characteristics'!$C$3:$BJ$51,49,FALSE)),$B36,1))&gt;0,N$1/2,0))</f>
        <v>0</v>
      </c>
      <c r="O36">
        <f ca="1">IF(HLOOKUP('Inputs and Outputs'!$D$16,'Neighborhood Characteristics'!$C$3:$BJ$49,'Neighborhood Matching Prefs'!$C36+1,FALSE)&gt;0,HLOOKUP('Inputs and Outputs'!$D$16,'Neighborhood Characteristics'!$C$3:$BJ$49,'Neighborhood Matching Prefs'!$C36+1,FALSE)*O$1,IF(SUM(OFFSET('Neighborhood Characteristics'!$C$3,$A36,(HLOOKUP('Inputs and Outputs'!$D$16,'Neighborhood Characteristics'!$C$3:$BJ$51,49,FALSE)),$B36,1))&gt;0,O$1/2,0))</f>
        <v>10</v>
      </c>
      <c r="P36">
        <f ca="1">IF(HLOOKUP('Inputs and Outputs'!$D$17,'Neighborhood Characteristics'!$C$3:$BJ$49,'Neighborhood Matching Prefs'!$C36+1,FALSE)&gt;0,HLOOKUP('Inputs and Outputs'!$D$17,'Neighborhood Characteristics'!$C$3:$BJ$49,'Neighborhood Matching Prefs'!$C36+1,FALSE)*P$1,IF(SUM(OFFSET('Neighborhood Characteristics'!$C$3,$A36,(HLOOKUP('Inputs and Outputs'!$D$17,'Neighborhood Characteristics'!$C$3:$BJ$51,49,FALSE)),$B36,1))&gt;0,P$1/2,0))</f>
        <v>10</v>
      </c>
      <c r="Q36" s="78">
        <f>IFERROR(HLOOKUP(D36,'Commuter Model'!$C$12:$AS$61,50,FALSE),0)*$Q$1</f>
        <v>14.999999999999998</v>
      </c>
      <c r="R36">
        <f t="shared" ca="1" si="0"/>
        <v>110</v>
      </c>
      <c r="S36">
        <f t="shared" ca="1" si="1"/>
        <v>7</v>
      </c>
      <c r="T36">
        <f ca="1">IF(COUNTIF($S$2:S35,S36)&gt;0,COUNTIF($S$2:S35,S36)+S36,S36)</f>
        <v>7</v>
      </c>
      <c r="U36" t="s">
        <v>153</v>
      </c>
    </row>
    <row r="37" spans="1:21">
      <c r="A37">
        <v>32</v>
      </c>
      <c r="B37">
        <v>4</v>
      </c>
      <c r="C37">
        <f t="shared" si="2"/>
        <v>34</v>
      </c>
      <c r="D37" s="15" t="s">
        <v>66</v>
      </c>
      <c r="E37">
        <f ca="1">IF(HLOOKUP('Inputs and Outputs'!$D$6,'Neighborhood Characteristics'!$C$3:$BJ$49,'Neighborhood Matching Prefs'!$C37+1,FALSE)&gt;0,HLOOKUP('Inputs and Outputs'!$D$6,'Neighborhood Characteristics'!$C$3:$BJ$49,'Neighborhood Matching Prefs'!$C37+1,FALSE)*E$1,IF(SUM(OFFSET('Neighborhood Characteristics'!$C$3,$A37,(HLOOKUP('Inputs and Outputs'!$D$6,'Neighborhood Characteristics'!$C$3:$BJ$51,49,FALSE)),$B37,1))&gt;0,E$1/2,0))</f>
        <v>5</v>
      </c>
      <c r="F37">
        <f ca="1">IF(HLOOKUP('Inputs and Outputs'!$D$7,'Neighborhood Characteristics'!$C$3:$BJ$49,'Neighborhood Matching Prefs'!$C37+1,FALSE)&gt;0,HLOOKUP('Inputs and Outputs'!$D$7,'Neighborhood Characteristics'!$C$3:$BJ$49,'Neighborhood Matching Prefs'!$C37+1,FALSE)*F$1,IF(SUM(OFFSET('Neighborhood Characteristics'!$C$3,$A37,(HLOOKUP('Inputs and Outputs'!$D$7,'Neighborhood Characteristics'!$C$3:$BJ$51,49,FALSE)),$B37,1))&gt;0,F$1/2,0))</f>
        <v>15</v>
      </c>
      <c r="G37">
        <f ca="1">IF(HLOOKUP('Inputs and Outputs'!$D$8,'Neighborhood Characteristics'!$C$3:$BJ$49,'Neighborhood Matching Prefs'!$C37+1,FALSE)&gt;0,HLOOKUP('Inputs and Outputs'!$D$8,'Neighborhood Characteristics'!$C$3:$BJ$49,'Neighborhood Matching Prefs'!$C37+1,FALSE)*G$1,IF(SUM(OFFSET('Neighborhood Characteristics'!$C$3,$A37,(HLOOKUP('Inputs and Outputs'!$D$8,'Neighborhood Characteristics'!$C$3:$BJ$51,49,FALSE)),$B37,1))&gt;0,G$1/2,0))</f>
        <v>20</v>
      </c>
      <c r="H37">
        <f ca="1">IF(HLOOKUP('Inputs and Outputs'!$D$9,'Neighborhood Characteristics'!$C$3:$BJ$49,'Neighborhood Matching Prefs'!$C37+1,FALSE)&gt;0,HLOOKUP('Inputs and Outputs'!$D$9,'Neighborhood Characteristics'!$C$3:$BJ$49,'Neighborhood Matching Prefs'!$C37+1,FALSE)*H$1,IF(SUM(OFFSET('Neighborhood Characteristics'!$C$3,$A37,(HLOOKUP('Inputs and Outputs'!$D$9,'Neighborhood Characteristics'!$C$3:$BJ$51,49,FALSE)),$B37,1))&gt;0,H$1/2,0))</f>
        <v>15</v>
      </c>
      <c r="I37">
        <f ca="1">IF(HLOOKUP('Inputs and Outputs'!$D$10,'Neighborhood Characteristics'!$C$3:$BJ$49,'Neighborhood Matching Prefs'!$C37+1,FALSE)&gt;0,HLOOKUP('Inputs and Outputs'!$D$10,'Neighborhood Characteristics'!$C$3:$BJ$49,'Neighborhood Matching Prefs'!$C37+1,FALSE)*I$1,IF(SUM(OFFSET('Neighborhood Characteristics'!$C$3,$A37,(HLOOKUP('Inputs and Outputs'!$D$10,'Neighborhood Characteristics'!$C$3:$BJ$51,49,FALSE)),$B37,1))&gt;0,I$1/2,0))</f>
        <v>0</v>
      </c>
      <c r="J37">
        <f ca="1">IF(HLOOKUP('Inputs and Outputs'!$D$11,'Neighborhood Characteristics'!$C$3:$BJ$49,'Neighborhood Matching Prefs'!$C37+1,FALSE)&gt;0,HLOOKUP('Inputs and Outputs'!$D$11,'Neighborhood Characteristics'!$C$3:$BJ$49,'Neighborhood Matching Prefs'!$C37+1,FALSE)*J$1,IF(SUM(OFFSET('Neighborhood Characteristics'!$C$3,$A37,(HLOOKUP('Inputs and Outputs'!$D$11,'Neighborhood Characteristics'!$C$3:$BJ$51,49,FALSE)),$B37,1))&gt;0,J$1/2,0))</f>
        <v>15</v>
      </c>
      <c r="K37">
        <f ca="1">IF(HLOOKUP('Inputs and Outputs'!$D$12,'Neighborhood Characteristics'!$C$3:$BJ$49,'Neighborhood Matching Prefs'!$C37+1,FALSE)&gt;0,HLOOKUP('Inputs and Outputs'!$D$12,'Neighborhood Characteristics'!$C$3:$BJ$49,'Neighborhood Matching Prefs'!$C37+1,FALSE)*K$1,IF(SUM(OFFSET('Neighborhood Characteristics'!$C$3,$A37,(HLOOKUP('Inputs and Outputs'!$D$12,'Neighborhood Characteristics'!$C$3:$BJ$51,49,FALSE)),$B37,1))&gt;0,K$1/2,0))</f>
        <v>10</v>
      </c>
      <c r="L37">
        <f ca="1">IF(HLOOKUP('Inputs and Outputs'!$D$13,'Neighborhood Characteristics'!$C$3:$BJ$49,'Neighborhood Matching Prefs'!$C37+1,FALSE)&gt;0,HLOOKUP('Inputs and Outputs'!$D$13,'Neighborhood Characteristics'!$C$3:$BJ$49,'Neighborhood Matching Prefs'!$C37+1,FALSE)*L$1,IF(SUM(OFFSET('Neighborhood Characteristics'!$C$3,$A37,(HLOOKUP('Inputs and Outputs'!$D$13,'Neighborhood Characteristics'!$C$3:$BJ$51,49,FALSE)),$B37,1))&gt;0,L$1/2,0))</f>
        <v>0</v>
      </c>
      <c r="M37">
        <f ca="1">IF(HLOOKUP('Inputs and Outputs'!$D$14,'Neighborhood Characteristics'!$C$3:$BJ$49,'Neighborhood Matching Prefs'!$C37+1,FALSE)&gt;0,HLOOKUP('Inputs and Outputs'!$D$14,'Neighborhood Characteristics'!$C$3:$BJ$49,'Neighborhood Matching Prefs'!$C37+1,FALSE)*M$1,IF(SUM(OFFSET('Neighborhood Characteristics'!$C$3,$A37,(HLOOKUP('Inputs and Outputs'!$D$14,'Neighborhood Characteristics'!$C$3:$BJ$51,49,FALSE)),$B37,1))&gt;0,M$1/2,0))</f>
        <v>0</v>
      </c>
      <c r="N37">
        <f ca="1">IF(HLOOKUP('Inputs and Outputs'!$D$15,'Neighborhood Characteristics'!$C$3:$BJ$49,'Neighborhood Matching Prefs'!$C37+1,FALSE)&gt;0,HLOOKUP('Inputs and Outputs'!$D$15,'Neighborhood Characteristics'!$C$3:$BJ$49,'Neighborhood Matching Prefs'!$C37+1,FALSE)*N$1,IF(SUM(OFFSET('Neighborhood Characteristics'!$C$3,$A37,(HLOOKUP('Inputs and Outputs'!$D$15,'Neighborhood Characteristics'!$C$3:$BJ$51,49,FALSE)),$B37,1))&gt;0,N$1/2,0))</f>
        <v>0</v>
      </c>
      <c r="O37">
        <f ca="1">IF(HLOOKUP('Inputs and Outputs'!$D$16,'Neighborhood Characteristics'!$C$3:$BJ$49,'Neighborhood Matching Prefs'!$C37+1,FALSE)&gt;0,HLOOKUP('Inputs and Outputs'!$D$16,'Neighborhood Characteristics'!$C$3:$BJ$49,'Neighborhood Matching Prefs'!$C37+1,FALSE)*O$1,IF(SUM(OFFSET('Neighborhood Characteristics'!$C$3,$A37,(HLOOKUP('Inputs and Outputs'!$D$16,'Neighborhood Characteristics'!$C$3:$BJ$51,49,FALSE)),$B37,1))&gt;0,O$1/2,0))</f>
        <v>10</v>
      </c>
      <c r="P37">
        <f ca="1">IF(HLOOKUP('Inputs and Outputs'!$D$17,'Neighborhood Characteristics'!$C$3:$BJ$49,'Neighborhood Matching Prefs'!$C37+1,FALSE)&gt;0,HLOOKUP('Inputs and Outputs'!$D$17,'Neighborhood Characteristics'!$C$3:$BJ$49,'Neighborhood Matching Prefs'!$C37+1,FALSE)*P$1,IF(SUM(OFFSET('Neighborhood Characteristics'!$C$3,$A37,(HLOOKUP('Inputs and Outputs'!$D$17,'Neighborhood Characteristics'!$C$3:$BJ$51,49,FALSE)),$B37,1))&gt;0,P$1/2,0))</f>
        <v>10</v>
      </c>
      <c r="Q37" s="78">
        <f>IFERROR(HLOOKUP(D37,'Commuter Model'!$C$12:$AS$61,50,FALSE),0)*$Q$1</f>
        <v>14.999999999999998</v>
      </c>
      <c r="R37">
        <f t="shared" ca="1" si="0"/>
        <v>115</v>
      </c>
      <c r="S37">
        <f t="shared" ca="1" si="1"/>
        <v>5</v>
      </c>
      <c r="T37">
        <f ca="1">IF(COUNTIF($S$2:S36,S37)&gt;0,COUNTIF($S$2:S36,S37)+S37,S37)</f>
        <v>5</v>
      </c>
      <c r="U37" t="s">
        <v>66</v>
      </c>
    </row>
    <row r="38" spans="1:21">
      <c r="A38">
        <v>32</v>
      </c>
      <c r="B38">
        <v>4</v>
      </c>
      <c r="C38">
        <f t="shared" si="2"/>
        <v>35</v>
      </c>
      <c r="D38" s="15" t="s">
        <v>152</v>
      </c>
      <c r="E38">
        <f ca="1">IF(HLOOKUP('Inputs and Outputs'!$D$6,'Neighborhood Characteristics'!$C$3:$BJ$49,'Neighborhood Matching Prefs'!$C38+1,FALSE)&gt;0,HLOOKUP('Inputs and Outputs'!$D$6,'Neighborhood Characteristics'!$C$3:$BJ$49,'Neighborhood Matching Prefs'!$C38+1,FALSE)*E$1,IF(SUM(OFFSET('Neighborhood Characteristics'!$C$3,$A38,(HLOOKUP('Inputs and Outputs'!$D$6,'Neighborhood Characteristics'!$C$3:$BJ$51,49,FALSE)),$B38,1))&gt;0,E$1/2,0))</f>
        <v>5</v>
      </c>
      <c r="F38">
        <f ca="1">IF(HLOOKUP('Inputs and Outputs'!$D$7,'Neighborhood Characteristics'!$C$3:$BJ$49,'Neighborhood Matching Prefs'!$C38+1,FALSE)&gt;0,HLOOKUP('Inputs and Outputs'!$D$7,'Neighborhood Characteristics'!$C$3:$BJ$49,'Neighborhood Matching Prefs'!$C38+1,FALSE)*F$1,IF(SUM(OFFSET('Neighborhood Characteristics'!$C$3,$A38,(HLOOKUP('Inputs and Outputs'!$D$7,'Neighborhood Characteristics'!$C$3:$BJ$51,49,FALSE)),$B38,1))&gt;0,F$1/2,0))</f>
        <v>7.5</v>
      </c>
      <c r="G38">
        <f ca="1">IF(HLOOKUP('Inputs and Outputs'!$D$8,'Neighborhood Characteristics'!$C$3:$BJ$49,'Neighborhood Matching Prefs'!$C38+1,FALSE)&gt;0,HLOOKUP('Inputs and Outputs'!$D$8,'Neighborhood Characteristics'!$C$3:$BJ$49,'Neighborhood Matching Prefs'!$C38+1,FALSE)*G$1,IF(SUM(OFFSET('Neighborhood Characteristics'!$C$3,$A38,(HLOOKUP('Inputs and Outputs'!$D$8,'Neighborhood Characteristics'!$C$3:$BJ$51,49,FALSE)),$B38,1))&gt;0,G$1/2,0))</f>
        <v>5</v>
      </c>
      <c r="H38">
        <f ca="1">IF(HLOOKUP('Inputs and Outputs'!$D$9,'Neighborhood Characteristics'!$C$3:$BJ$49,'Neighborhood Matching Prefs'!$C38+1,FALSE)&gt;0,HLOOKUP('Inputs and Outputs'!$D$9,'Neighborhood Characteristics'!$C$3:$BJ$49,'Neighborhood Matching Prefs'!$C38+1,FALSE)*H$1,IF(SUM(OFFSET('Neighborhood Characteristics'!$C$3,$A38,(HLOOKUP('Inputs and Outputs'!$D$9,'Neighborhood Characteristics'!$C$3:$BJ$51,49,FALSE)),$B38,1))&gt;0,H$1/2,0))</f>
        <v>15</v>
      </c>
      <c r="I38">
        <f ca="1">IF(HLOOKUP('Inputs and Outputs'!$D$10,'Neighborhood Characteristics'!$C$3:$BJ$49,'Neighborhood Matching Prefs'!$C38+1,FALSE)&gt;0,HLOOKUP('Inputs and Outputs'!$D$10,'Neighborhood Characteristics'!$C$3:$BJ$49,'Neighborhood Matching Prefs'!$C38+1,FALSE)*I$1,IF(SUM(OFFSET('Neighborhood Characteristics'!$C$3,$A38,(HLOOKUP('Inputs and Outputs'!$D$10,'Neighborhood Characteristics'!$C$3:$BJ$51,49,FALSE)),$B38,1))&gt;0,I$1/2,0))</f>
        <v>0</v>
      </c>
      <c r="J38">
        <f ca="1">IF(HLOOKUP('Inputs and Outputs'!$D$11,'Neighborhood Characteristics'!$C$3:$BJ$49,'Neighborhood Matching Prefs'!$C38+1,FALSE)&gt;0,HLOOKUP('Inputs and Outputs'!$D$11,'Neighborhood Characteristics'!$C$3:$BJ$49,'Neighborhood Matching Prefs'!$C38+1,FALSE)*J$1,IF(SUM(OFFSET('Neighborhood Characteristics'!$C$3,$A38,(HLOOKUP('Inputs and Outputs'!$D$11,'Neighborhood Characteristics'!$C$3:$BJ$51,49,FALSE)),$B38,1))&gt;0,J$1/2,0))</f>
        <v>15</v>
      </c>
      <c r="K38">
        <f ca="1">IF(HLOOKUP('Inputs and Outputs'!$D$12,'Neighborhood Characteristics'!$C$3:$BJ$49,'Neighborhood Matching Prefs'!$C38+1,FALSE)&gt;0,HLOOKUP('Inputs and Outputs'!$D$12,'Neighborhood Characteristics'!$C$3:$BJ$49,'Neighborhood Matching Prefs'!$C38+1,FALSE)*K$1,IF(SUM(OFFSET('Neighborhood Characteristics'!$C$3,$A38,(HLOOKUP('Inputs and Outputs'!$D$12,'Neighborhood Characteristics'!$C$3:$BJ$51,49,FALSE)),$B38,1))&gt;0,K$1/2,0))</f>
        <v>10</v>
      </c>
      <c r="L38">
        <f ca="1">IF(HLOOKUP('Inputs and Outputs'!$D$13,'Neighborhood Characteristics'!$C$3:$BJ$49,'Neighborhood Matching Prefs'!$C38+1,FALSE)&gt;0,HLOOKUP('Inputs and Outputs'!$D$13,'Neighborhood Characteristics'!$C$3:$BJ$49,'Neighborhood Matching Prefs'!$C38+1,FALSE)*L$1,IF(SUM(OFFSET('Neighborhood Characteristics'!$C$3,$A38,(HLOOKUP('Inputs and Outputs'!$D$13,'Neighborhood Characteristics'!$C$3:$BJ$51,49,FALSE)),$B38,1))&gt;0,L$1/2,0))</f>
        <v>0</v>
      </c>
      <c r="M38">
        <f ca="1">IF(HLOOKUP('Inputs and Outputs'!$D$14,'Neighborhood Characteristics'!$C$3:$BJ$49,'Neighborhood Matching Prefs'!$C38+1,FALSE)&gt;0,HLOOKUP('Inputs and Outputs'!$D$14,'Neighborhood Characteristics'!$C$3:$BJ$49,'Neighborhood Matching Prefs'!$C38+1,FALSE)*M$1,IF(SUM(OFFSET('Neighborhood Characteristics'!$C$3,$A38,(HLOOKUP('Inputs and Outputs'!$D$14,'Neighborhood Characteristics'!$C$3:$BJ$51,49,FALSE)),$B38,1))&gt;0,M$1/2,0))</f>
        <v>0</v>
      </c>
      <c r="N38">
        <f ca="1">IF(HLOOKUP('Inputs and Outputs'!$D$15,'Neighborhood Characteristics'!$C$3:$BJ$49,'Neighborhood Matching Prefs'!$C38+1,FALSE)&gt;0,HLOOKUP('Inputs and Outputs'!$D$15,'Neighborhood Characteristics'!$C$3:$BJ$49,'Neighborhood Matching Prefs'!$C38+1,FALSE)*N$1,IF(SUM(OFFSET('Neighborhood Characteristics'!$C$3,$A38,(HLOOKUP('Inputs and Outputs'!$D$15,'Neighborhood Characteristics'!$C$3:$BJ$51,49,FALSE)),$B38,1))&gt;0,N$1/2,0))</f>
        <v>0</v>
      </c>
      <c r="O38">
        <f ca="1">IF(HLOOKUP('Inputs and Outputs'!$D$16,'Neighborhood Characteristics'!$C$3:$BJ$49,'Neighborhood Matching Prefs'!$C38+1,FALSE)&gt;0,HLOOKUP('Inputs and Outputs'!$D$16,'Neighborhood Characteristics'!$C$3:$BJ$49,'Neighborhood Matching Prefs'!$C38+1,FALSE)*O$1,IF(SUM(OFFSET('Neighborhood Characteristics'!$C$3,$A38,(HLOOKUP('Inputs and Outputs'!$D$16,'Neighborhood Characteristics'!$C$3:$BJ$51,49,FALSE)),$B38,1))&gt;0,O$1/2,0))</f>
        <v>10</v>
      </c>
      <c r="P38">
        <f ca="1">IF(HLOOKUP('Inputs and Outputs'!$D$17,'Neighborhood Characteristics'!$C$3:$BJ$49,'Neighborhood Matching Prefs'!$C38+1,FALSE)&gt;0,HLOOKUP('Inputs and Outputs'!$D$17,'Neighborhood Characteristics'!$C$3:$BJ$49,'Neighborhood Matching Prefs'!$C38+1,FALSE)*P$1,IF(SUM(OFFSET('Neighborhood Characteristics'!$C$3,$A38,(HLOOKUP('Inputs and Outputs'!$D$17,'Neighborhood Characteristics'!$C$3:$BJ$51,49,FALSE)),$B38,1))&gt;0,P$1/2,0))</f>
        <v>10</v>
      </c>
      <c r="Q38" s="78">
        <f>IFERROR(HLOOKUP(D38,'Commuter Model'!$C$12:$AS$61,50,FALSE),0)*$Q$1</f>
        <v>14.999999999999998</v>
      </c>
      <c r="R38">
        <f t="shared" ca="1" si="0"/>
        <v>92.5</v>
      </c>
      <c r="S38">
        <f t="shared" ca="1" si="1"/>
        <v>15</v>
      </c>
      <c r="T38">
        <f ca="1">IF(COUNTIF($S$2:S37,S38)&gt;0,COUNTIF($S$2:S37,S38)+S38,S38)</f>
        <v>17</v>
      </c>
      <c r="U38" t="s">
        <v>152</v>
      </c>
    </row>
    <row r="39" spans="1:21">
      <c r="A39">
        <v>36</v>
      </c>
      <c r="B39">
        <v>3</v>
      </c>
      <c r="C39">
        <f t="shared" si="2"/>
        <v>36</v>
      </c>
      <c r="D39" s="16" t="s">
        <v>154</v>
      </c>
      <c r="E39">
        <f ca="1">IF(HLOOKUP('Inputs and Outputs'!$D$6,'Neighborhood Characteristics'!$C$3:$BJ$49,'Neighborhood Matching Prefs'!$C39+1,FALSE)&gt;0,HLOOKUP('Inputs and Outputs'!$D$6,'Neighborhood Characteristics'!$C$3:$BJ$49,'Neighborhood Matching Prefs'!$C39+1,FALSE)*E$1,IF(SUM(OFFSET('Neighborhood Characteristics'!$C$3,$A39,(HLOOKUP('Inputs and Outputs'!$D$6,'Neighborhood Characteristics'!$C$3:$BJ$51,49,FALSE)),$B39,1))&gt;0,E$1/2,0))</f>
        <v>5</v>
      </c>
      <c r="F39">
        <f ca="1">IF(HLOOKUP('Inputs and Outputs'!$D$7,'Neighborhood Characteristics'!$C$3:$BJ$49,'Neighborhood Matching Prefs'!$C39+1,FALSE)&gt;0,HLOOKUP('Inputs and Outputs'!$D$7,'Neighborhood Characteristics'!$C$3:$BJ$49,'Neighborhood Matching Prefs'!$C39+1,FALSE)*F$1,IF(SUM(OFFSET('Neighborhood Characteristics'!$C$3,$A39,(HLOOKUP('Inputs and Outputs'!$D$7,'Neighborhood Characteristics'!$C$3:$BJ$51,49,FALSE)),$B39,1))&gt;0,F$1/2,0))</f>
        <v>15</v>
      </c>
      <c r="G39">
        <f ca="1">IF(HLOOKUP('Inputs and Outputs'!$D$8,'Neighborhood Characteristics'!$C$3:$BJ$49,'Neighborhood Matching Prefs'!$C39+1,FALSE)&gt;0,HLOOKUP('Inputs and Outputs'!$D$8,'Neighborhood Characteristics'!$C$3:$BJ$49,'Neighborhood Matching Prefs'!$C39+1,FALSE)*G$1,IF(SUM(OFFSET('Neighborhood Characteristics'!$C$3,$A39,(HLOOKUP('Inputs and Outputs'!$D$8,'Neighborhood Characteristics'!$C$3:$BJ$51,49,FALSE)),$B39,1))&gt;0,G$1/2,0))</f>
        <v>10</v>
      </c>
      <c r="H39">
        <f ca="1">IF(HLOOKUP('Inputs and Outputs'!$D$9,'Neighborhood Characteristics'!$C$3:$BJ$49,'Neighborhood Matching Prefs'!$C39+1,FALSE)&gt;0,HLOOKUP('Inputs and Outputs'!$D$9,'Neighborhood Characteristics'!$C$3:$BJ$49,'Neighborhood Matching Prefs'!$C39+1,FALSE)*H$1,IF(SUM(OFFSET('Neighborhood Characteristics'!$C$3,$A39,(HLOOKUP('Inputs and Outputs'!$D$9,'Neighborhood Characteristics'!$C$3:$BJ$51,49,FALSE)),$B39,1))&gt;0,H$1/2,0))</f>
        <v>15</v>
      </c>
      <c r="I39">
        <f ca="1">IF(HLOOKUP('Inputs and Outputs'!$D$10,'Neighborhood Characteristics'!$C$3:$BJ$49,'Neighborhood Matching Prefs'!$C39+1,FALSE)&gt;0,HLOOKUP('Inputs and Outputs'!$D$10,'Neighborhood Characteristics'!$C$3:$BJ$49,'Neighborhood Matching Prefs'!$C39+1,FALSE)*I$1,IF(SUM(OFFSET('Neighborhood Characteristics'!$C$3,$A39,(HLOOKUP('Inputs and Outputs'!$D$10,'Neighborhood Characteristics'!$C$3:$BJ$51,49,FALSE)),$B39,1))&gt;0,I$1/2,0))</f>
        <v>0</v>
      </c>
      <c r="J39">
        <f ca="1">IF(HLOOKUP('Inputs and Outputs'!$D$11,'Neighborhood Characteristics'!$C$3:$BJ$49,'Neighborhood Matching Prefs'!$C39+1,FALSE)&gt;0,HLOOKUP('Inputs and Outputs'!$D$11,'Neighborhood Characteristics'!$C$3:$BJ$49,'Neighborhood Matching Prefs'!$C39+1,FALSE)*J$1,IF(SUM(OFFSET('Neighborhood Characteristics'!$C$3,$A39,(HLOOKUP('Inputs and Outputs'!$D$11,'Neighborhood Characteristics'!$C$3:$BJ$51,49,FALSE)),$B39,1))&gt;0,J$1/2,0))</f>
        <v>15</v>
      </c>
      <c r="K39">
        <f ca="1">IF(HLOOKUP('Inputs and Outputs'!$D$12,'Neighborhood Characteristics'!$C$3:$BJ$49,'Neighborhood Matching Prefs'!$C39+1,FALSE)&gt;0,HLOOKUP('Inputs and Outputs'!$D$12,'Neighborhood Characteristics'!$C$3:$BJ$49,'Neighborhood Matching Prefs'!$C39+1,FALSE)*K$1,IF(SUM(OFFSET('Neighborhood Characteristics'!$C$3,$A39,(HLOOKUP('Inputs and Outputs'!$D$12,'Neighborhood Characteristics'!$C$3:$BJ$51,49,FALSE)),$B39,1))&gt;0,K$1/2,0))</f>
        <v>0</v>
      </c>
      <c r="L39">
        <f ca="1">IF(HLOOKUP('Inputs and Outputs'!$D$13,'Neighborhood Characteristics'!$C$3:$BJ$49,'Neighborhood Matching Prefs'!$C39+1,FALSE)&gt;0,HLOOKUP('Inputs and Outputs'!$D$13,'Neighborhood Characteristics'!$C$3:$BJ$49,'Neighborhood Matching Prefs'!$C39+1,FALSE)*L$1,IF(SUM(OFFSET('Neighborhood Characteristics'!$C$3,$A39,(HLOOKUP('Inputs and Outputs'!$D$13,'Neighborhood Characteristics'!$C$3:$BJ$51,49,FALSE)),$B39,1))&gt;0,L$1/2,0))</f>
        <v>0</v>
      </c>
      <c r="M39">
        <f ca="1">IF(HLOOKUP('Inputs and Outputs'!$D$14,'Neighborhood Characteristics'!$C$3:$BJ$49,'Neighborhood Matching Prefs'!$C39+1,FALSE)&gt;0,HLOOKUP('Inputs and Outputs'!$D$14,'Neighborhood Characteristics'!$C$3:$BJ$49,'Neighborhood Matching Prefs'!$C39+1,FALSE)*M$1,IF(SUM(OFFSET('Neighborhood Characteristics'!$C$3,$A39,(HLOOKUP('Inputs and Outputs'!$D$14,'Neighborhood Characteristics'!$C$3:$BJ$51,49,FALSE)),$B39,1))&gt;0,M$1/2,0))</f>
        <v>0</v>
      </c>
      <c r="N39">
        <f ca="1">IF(HLOOKUP('Inputs and Outputs'!$D$15,'Neighborhood Characteristics'!$C$3:$BJ$49,'Neighborhood Matching Prefs'!$C39+1,FALSE)&gt;0,HLOOKUP('Inputs and Outputs'!$D$15,'Neighborhood Characteristics'!$C$3:$BJ$49,'Neighborhood Matching Prefs'!$C39+1,FALSE)*N$1,IF(SUM(OFFSET('Neighborhood Characteristics'!$C$3,$A39,(HLOOKUP('Inputs and Outputs'!$D$15,'Neighborhood Characteristics'!$C$3:$BJ$51,49,FALSE)),$B39,1))&gt;0,N$1/2,0))</f>
        <v>0</v>
      </c>
      <c r="O39">
        <f ca="1">IF(HLOOKUP('Inputs and Outputs'!$D$16,'Neighborhood Characteristics'!$C$3:$BJ$49,'Neighborhood Matching Prefs'!$C39+1,FALSE)&gt;0,HLOOKUP('Inputs and Outputs'!$D$16,'Neighborhood Characteristics'!$C$3:$BJ$49,'Neighborhood Matching Prefs'!$C39+1,FALSE)*O$1,IF(SUM(OFFSET('Neighborhood Characteristics'!$C$3,$A39,(HLOOKUP('Inputs and Outputs'!$D$16,'Neighborhood Characteristics'!$C$3:$BJ$51,49,FALSE)),$B39,1))&gt;0,O$1/2,0))</f>
        <v>10</v>
      </c>
      <c r="P39">
        <f ca="1">IF(HLOOKUP('Inputs and Outputs'!$D$17,'Neighborhood Characteristics'!$C$3:$BJ$49,'Neighborhood Matching Prefs'!$C39+1,FALSE)&gt;0,HLOOKUP('Inputs and Outputs'!$D$17,'Neighborhood Characteristics'!$C$3:$BJ$49,'Neighborhood Matching Prefs'!$C39+1,FALSE)*P$1,IF(SUM(OFFSET('Neighborhood Characteristics'!$C$3,$A39,(HLOOKUP('Inputs and Outputs'!$D$17,'Neighborhood Characteristics'!$C$3:$BJ$51,49,FALSE)),$B39,1))&gt;0,P$1/2,0))</f>
        <v>10</v>
      </c>
      <c r="Q39" s="78">
        <f>IFERROR(HLOOKUP(D39,'Commuter Model'!$C$12:$AS$61,50,FALSE),0)*$Q$1</f>
        <v>3</v>
      </c>
      <c r="R39">
        <f t="shared" ca="1" si="0"/>
        <v>83</v>
      </c>
      <c r="S39">
        <f t="shared" ca="1" si="1"/>
        <v>30</v>
      </c>
      <c r="T39">
        <f ca="1">IF(COUNTIF($S$2:S38,S39)&gt;0,COUNTIF($S$2:S38,S39)+S39,S39)</f>
        <v>30</v>
      </c>
      <c r="U39" t="s">
        <v>154</v>
      </c>
    </row>
    <row r="40" spans="1:21">
      <c r="A40">
        <v>36</v>
      </c>
      <c r="B40">
        <v>3</v>
      </c>
      <c r="C40">
        <f t="shared" si="2"/>
        <v>37</v>
      </c>
      <c r="D40" s="16" t="s">
        <v>67</v>
      </c>
      <c r="E40">
        <f ca="1">IF(HLOOKUP('Inputs and Outputs'!$D$6,'Neighborhood Characteristics'!$C$3:$BJ$49,'Neighborhood Matching Prefs'!$C40+1,FALSE)&gt;0,HLOOKUP('Inputs and Outputs'!$D$6,'Neighborhood Characteristics'!$C$3:$BJ$49,'Neighborhood Matching Prefs'!$C40+1,FALSE)*E$1,IF(SUM(OFFSET('Neighborhood Characteristics'!$C$3,$A40,(HLOOKUP('Inputs and Outputs'!$D$6,'Neighborhood Characteristics'!$C$3:$BJ$51,49,FALSE)),$B40,1))&gt;0,E$1/2,0))</f>
        <v>5</v>
      </c>
      <c r="F40">
        <f ca="1">IF(HLOOKUP('Inputs and Outputs'!$D$7,'Neighborhood Characteristics'!$C$3:$BJ$49,'Neighborhood Matching Prefs'!$C40+1,FALSE)&gt;0,HLOOKUP('Inputs and Outputs'!$D$7,'Neighborhood Characteristics'!$C$3:$BJ$49,'Neighborhood Matching Prefs'!$C40+1,FALSE)*F$1,IF(SUM(OFFSET('Neighborhood Characteristics'!$C$3,$A40,(HLOOKUP('Inputs and Outputs'!$D$7,'Neighborhood Characteristics'!$C$3:$BJ$51,49,FALSE)),$B40,1))&gt;0,F$1/2,0))</f>
        <v>7.5</v>
      </c>
      <c r="G40">
        <f ca="1">IF(HLOOKUP('Inputs and Outputs'!$D$8,'Neighborhood Characteristics'!$C$3:$BJ$49,'Neighborhood Matching Prefs'!$C40+1,FALSE)&gt;0,HLOOKUP('Inputs and Outputs'!$D$8,'Neighborhood Characteristics'!$C$3:$BJ$49,'Neighborhood Matching Prefs'!$C40+1,FALSE)*G$1,IF(SUM(OFFSET('Neighborhood Characteristics'!$C$3,$A40,(HLOOKUP('Inputs and Outputs'!$D$8,'Neighborhood Characteristics'!$C$3:$BJ$51,49,FALSE)),$B40,1))&gt;0,G$1/2,0))</f>
        <v>5</v>
      </c>
      <c r="H40">
        <f ca="1">IF(HLOOKUP('Inputs and Outputs'!$D$9,'Neighborhood Characteristics'!$C$3:$BJ$49,'Neighborhood Matching Prefs'!$C40+1,FALSE)&gt;0,HLOOKUP('Inputs and Outputs'!$D$9,'Neighborhood Characteristics'!$C$3:$BJ$49,'Neighborhood Matching Prefs'!$C40+1,FALSE)*H$1,IF(SUM(OFFSET('Neighborhood Characteristics'!$C$3,$A40,(HLOOKUP('Inputs and Outputs'!$D$9,'Neighborhood Characteristics'!$C$3:$BJ$51,49,FALSE)),$B40,1))&gt;0,H$1/2,0))</f>
        <v>15</v>
      </c>
      <c r="I40">
        <f ca="1">IF(HLOOKUP('Inputs and Outputs'!$D$10,'Neighborhood Characteristics'!$C$3:$BJ$49,'Neighborhood Matching Prefs'!$C40+1,FALSE)&gt;0,HLOOKUP('Inputs and Outputs'!$D$10,'Neighborhood Characteristics'!$C$3:$BJ$49,'Neighborhood Matching Prefs'!$C40+1,FALSE)*I$1,IF(SUM(OFFSET('Neighborhood Characteristics'!$C$3,$A40,(HLOOKUP('Inputs and Outputs'!$D$10,'Neighborhood Characteristics'!$C$3:$BJ$51,49,FALSE)),$B40,1))&gt;0,I$1/2,0))</f>
        <v>0</v>
      </c>
      <c r="J40">
        <f ca="1">IF(HLOOKUP('Inputs and Outputs'!$D$11,'Neighborhood Characteristics'!$C$3:$BJ$49,'Neighborhood Matching Prefs'!$C40+1,FALSE)&gt;0,HLOOKUP('Inputs and Outputs'!$D$11,'Neighborhood Characteristics'!$C$3:$BJ$49,'Neighborhood Matching Prefs'!$C40+1,FALSE)*J$1,IF(SUM(OFFSET('Neighborhood Characteristics'!$C$3,$A40,(HLOOKUP('Inputs and Outputs'!$D$11,'Neighborhood Characteristics'!$C$3:$BJ$51,49,FALSE)),$B40,1))&gt;0,J$1/2,0))</f>
        <v>15</v>
      </c>
      <c r="K40">
        <f ca="1">IF(HLOOKUP('Inputs and Outputs'!$D$12,'Neighborhood Characteristics'!$C$3:$BJ$49,'Neighborhood Matching Prefs'!$C40+1,FALSE)&gt;0,HLOOKUP('Inputs and Outputs'!$D$12,'Neighborhood Characteristics'!$C$3:$BJ$49,'Neighborhood Matching Prefs'!$C40+1,FALSE)*K$1,IF(SUM(OFFSET('Neighborhood Characteristics'!$C$3,$A40,(HLOOKUP('Inputs and Outputs'!$D$12,'Neighborhood Characteristics'!$C$3:$BJ$51,49,FALSE)),$B40,1))&gt;0,K$1/2,0))</f>
        <v>0</v>
      </c>
      <c r="L40">
        <f ca="1">IF(HLOOKUP('Inputs and Outputs'!$D$13,'Neighborhood Characteristics'!$C$3:$BJ$49,'Neighborhood Matching Prefs'!$C40+1,FALSE)&gt;0,HLOOKUP('Inputs and Outputs'!$D$13,'Neighborhood Characteristics'!$C$3:$BJ$49,'Neighborhood Matching Prefs'!$C40+1,FALSE)*L$1,IF(SUM(OFFSET('Neighborhood Characteristics'!$C$3,$A40,(HLOOKUP('Inputs and Outputs'!$D$13,'Neighborhood Characteristics'!$C$3:$BJ$51,49,FALSE)),$B40,1))&gt;0,L$1/2,0))</f>
        <v>0</v>
      </c>
      <c r="M40">
        <f ca="1">IF(HLOOKUP('Inputs and Outputs'!$D$14,'Neighborhood Characteristics'!$C$3:$BJ$49,'Neighborhood Matching Prefs'!$C40+1,FALSE)&gt;0,HLOOKUP('Inputs and Outputs'!$D$14,'Neighborhood Characteristics'!$C$3:$BJ$49,'Neighborhood Matching Prefs'!$C40+1,FALSE)*M$1,IF(SUM(OFFSET('Neighborhood Characteristics'!$C$3,$A40,(HLOOKUP('Inputs and Outputs'!$D$14,'Neighborhood Characteristics'!$C$3:$BJ$51,49,FALSE)),$B40,1))&gt;0,M$1/2,0))</f>
        <v>0</v>
      </c>
      <c r="N40">
        <f ca="1">IF(HLOOKUP('Inputs and Outputs'!$D$15,'Neighborhood Characteristics'!$C$3:$BJ$49,'Neighborhood Matching Prefs'!$C40+1,FALSE)&gt;0,HLOOKUP('Inputs and Outputs'!$D$15,'Neighborhood Characteristics'!$C$3:$BJ$49,'Neighborhood Matching Prefs'!$C40+1,FALSE)*N$1,IF(SUM(OFFSET('Neighborhood Characteristics'!$C$3,$A40,(HLOOKUP('Inputs and Outputs'!$D$15,'Neighborhood Characteristics'!$C$3:$BJ$51,49,FALSE)),$B40,1))&gt;0,N$1/2,0))</f>
        <v>0</v>
      </c>
      <c r="O40">
        <f ca="1">IF(HLOOKUP('Inputs and Outputs'!$D$16,'Neighborhood Characteristics'!$C$3:$BJ$49,'Neighborhood Matching Prefs'!$C40+1,FALSE)&gt;0,HLOOKUP('Inputs and Outputs'!$D$16,'Neighborhood Characteristics'!$C$3:$BJ$49,'Neighborhood Matching Prefs'!$C40+1,FALSE)*O$1,IF(SUM(OFFSET('Neighborhood Characteristics'!$C$3,$A40,(HLOOKUP('Inputs and Outputs'!$D$16,'Neighborhood Characteristics'!$C$3:$BJ$51,49,FALSE)),$B40,1))&gt;0,O$1/2,0))</f>
        <v>10</v>
      </c>
      <c r="P40">
        <f ca="1">IF(HLOOKUP('Inputs and Outputs'!$D$17,'Neighborhood Characteristics'!$C$3:$BJ$49,'Neighborhood Matching Prefs'!$C40+1,FALSE)&gt;0,HLOOKUP('Inputs and Outputs'!$D$17,'Neighborhood Characteristics'!$C$3:$BJ$49,'Neighborhood Matching Prefs'!$C40+1,FALSE)*P$1,IF(SUM(OFFSET('Neighborhood Characteristics'!$C$3,$A40,(HLOOKUP('Inputs and Outputs'!$D$17,'Neighborhood Characteristics'!$C$3:$BJ$51,49,FALSE)),$B40,1))&gt;0,P$1/2,0))</f>
        <v>10</v>
      </c>
      <c r="Q40" s="78">
        <f>IFERROR(HLOOKUP(D40,'Commuter Model'!$C$12:$AS$61,50,FALSE),0)*$Q$1</f>
        <v>0</v>
      </c>
      <c r="R40">
        <f t="shared" ca="1" si="0"/>
        <v>67.5</v>
      </c>
      <c r="S40">
        <f t="shared" ca="1" si="1"/>
        <v>35</v>
      </c>
      <c r="T40">
        <f ca="1">IF(COUNTIF($S$2:S39,S40)&gt;0,COUNTIF($S$2:S39,S40)+S40,S40)</f>
        <v>37</v>
      </c>
      <c r="U40" t="s">
        <v>67</v>
      </c>
    </row>
    <row r="41" spans="1:21">
      <c r="A41">
        <v>36</v>
      </c>
      <c r="B41">
        <v>3</v>
      </c>
      <c r="C41">
        <f t="shared" si="2"/>
        <v>38</v>
      </c>
      <c r="D41" s="16" t="s">
        <v>68</v>
      </c>
      <c r="E41">
        <f ca="1">IF(HLOOKUP('Inputs and Outputs'!$D$6,'Neighborhood Characteristics'!$C$3:$BJ$49,'Neighborhood Matching Prefs'!$C41+1,FALSE)&gt;0,HLOOKUP('Inputs and Outputs'!$D$6,'Neighborhood Characteristics'!$C$3:$BJ$49,'Neighborhood Matching Prefs'!$C41+1,FALSE)*E$1,IF(SUM(OFFSET('Neighborhood Characteristics'!$C$3,$A41,(HLOOKUP('Inputs and Outputs'!$D$6,'Neighborhood Characteristics'!$C$3:$BJ$51,49,FALSE)),$B41,1))&gt;0,E$1/2,0))</f>
        <v>10</v>
      </c>
      <c r="F41">
        <f ca="1">IF(HLOOKUP('Inputs and Outputs'!$D$7,'Neighborhood Characteristics'!$C$3:$BJ$49,'Neighborhood Matching Prefs'!$C41+1,FALSE)&gt;0,HLOOKUP('Inputs and Outputs'!$D$7,'Neighborhood Characteristics'!$C$3:$BJ$49,'Neighborhood Matching Prefs'!$C41+1,FALSE)*F$1,IF(SUM(OFFSET('Neighborhood Characteristics'!$C$3,$A41,(HLOOKUP('Inputs and Outputs'!$D$7,'Neighborhood Characteristics'!$C$3:$BJ$51,49,FALSE)),$B41,1))&gt;0,F$1/2,0))</f>
        <v>15</v>
      </c>
      <c r="G41">
        <f ca="1">IF(HLOOKUP('Inputs and Outputs'!$D$8,'Neighborhood Characteristics'!$C$3:$BJ$49,'Neighborhood Matching Prefs'!$C41+1,FALSE)&gt;0,HLOOKUP('Inputs and Outputs'!$D$8,'Neighborhood Characteristics'!$C$3:$BJ$49,'Neighborhood Matching Prefs'!$C41+1,FALSE)*G$1,IF(SUM(OFFSET('Neighborhood Characteristics'!$C$3,$A41,(HLOOKUP('Inputs and Outputs'!$D$8,'Neighborhood Characteristics'!$C$3:$BJ$51,49,FALSE)),$B41,1))&gt;0,G$1/2,0))</f>
        <v>10</v>
      </c>
      <c r="H41">
        <f ca="1">IF(HLOOKUP('Inputs and Outputs'!$D$9,'Neighborhood Characteristics'!$C$3:$BJ$49,'Neighborhood Matching Prefs'!$C41+1,FALSE)&gt;0,HLOOKUP('Inputs and Outputs'!$D$9,'Neighborhood Characteristics'!$C$3:$BJ$49,'Neighborhood Matching Prefs'!$C41+1,FALSE)*H$1,IF(SUM(OFFSET('Neighborhood Characteristics'!$C$3,$A41,(HLOOKUP('Inputs and Outputs'!$D$9,'Neighborhood Characteristics'!$C$3:$BJ$51,49,FALSE)),$B41,1))&gt;0,H$1/2,0))</f>
        <v>15</v>
      </c>
      <c r="I41">
        <f ca="1">IF(HLOOKUP('Inputs and Outputs'!$D$10,'Neighborhood Characteristics'!$C$3:$BJ$49,'Neighborhood Matching Prefs'!$C41+1,FALSE)&gt;0,HLOOKUP('Inputs and Outputs'!$D$10,'Neighborhood Characteristics'!$C$3:$BJ$49,'Neighborhood Matching Prefs'!$C41+1,FALSE)*I$1,IF(SUM(OFFSET('Neighborhood Characteristics'!$C$3,$A41,(HLOOKUP('Inputs and Outputs'!$D$10,'Neighborhood Characteristics'!$C$3:$BJ$51,49,FALSE)),$B41,1))&gt;0,I$1/2,0))</f>
        <v>0</v>
      </c>
      <c r="J41">
        <f ca="1">IF(HLOOKUP('Inputs and Outputs'!$D$11,'Neighborhood Characteristics'!$C$3:$BJ$49,'Neighborhood Matching Prefs'!$C41+1,FALSE)&gt;0,HLOOKUP('Inputs and Outputs'!$D$11,'Neighborhood Characteristics'!$C$3:$BJ$49,'Neighborhood Matching Prefs'!$C41+1,FALSE)*J$1,IF(SUM(OFFSET('Neighborhood Characteristics'!$C$3,$A41,(HLOOKUP('Inputs and Outputs'!$D$11,'Neighborhood Characteristics'!$C$3:$BJ$51,49,FALSE)),$B41,1))&gt;0,J$1/2,0))</f>
        <v>15</v>
      </c>
      <c r="K41">
        <f ca="1">IF(HLOOKUP('Inputs and Outputs'!$D$12,'Neighborhood Characteristics'!$C$3:$BJ$49,'Neighborhood Matching Prefs'!$C41+1,FALSE)&gt;0,HLOOKUP('Inputs and Outputs'!$D$12,'Neighborhood Characteristics'!$C$3:$BJ$49,'Neighborhood Matching Prefs'!$C41+1,FALSE)*K$1,IF(SUM(OFFSET('Neighborhood Characteristics'!$C$3,$A41,(HLOOKUP('Inputs and Outputs'!$D$12,'Neighborhood Characteristics'!$C$3:$BJ$51,49,FALSE)),$B41,1))&gt;0,K$1/2,0))</f>
        <v>0</v>
      </c>
      <c r="L41">
        <f ca="1">IF(HLOOKUP('Inputs and Outputs'!$D$13,'Neighborhood Characteristics'!$C$3:$BJ$49,'Neighborhood Matching Prefs'!$C41+1,FALSE)&gt;0,HLOOKUP('Inputs and Outputs'!$D$13,'Neighborhood Characteristics'!$C$3:$BJ$49,'Neighborhood Matching Prefs'!$C41+1,FALSE)*L$1,IF(SUM(OFFSET('Neighborhood Characteristics'!$C$3,$A41,(HLOOKUP('Inputs and Outputs'!$D$13,'Neighborhood Characteristics'!$C$3:$BJ$51,49,FALSE)),$B41,1))&gt;0,L$1/2,0))</f>
        <v>0</v>
      </c>
      <c r="M41">
        <f ca="1">IF(HLOOKUP('Inputs and Outputs'!$D$14,'Neighborhood Characteristics'!$C$3:$BJ$49,'Neighborhood Matching Prefs'!$C41+1,FALSE)&gt;0,HLOOKUP('Inputs and Outputs'!$D$14,'Neighborhood Characteristics'!$C$3:$BJ$49,'Neighborhood Matching Prefs'!$C41+1,FALSE)*M$1,IF(SUM(OFFSET('Neighborhood Characteristics'!$C$3,$A41,(HLOOKUP('Inputs and Outputs'!$D$14,'Neighborhood Characteristics'!$C$3:$BJ$51,49,FALSE)),$B41,1))&gt;0,M$1/2,0))</f>
        <v>0</v>
      </c>
      <c r="N41">
        <f ca="1">IF(HLOOKUP('Inputs and Outputs'!$D$15,'Neighborhood Characteristics'!$C$3:$BJ$49,'Neighborhood Matching Prefs'!$C41+1,FALSE)&gt;0,HLOOKUP('Inputs and Outputs'!$D$15,'Neighborhood Characteristics'!$C$3:$BJ$49,'Neighborhood Matching Prefs'!$C41+1,FALSE)*N$1,IF(SUM(OFFSET('Neighborhood Characteristics'!$C$3,$A41,(HLOOKUP('Inputs and Outputs'!$D$15,'Neighborhood Characteristics'!$C$3:$BJ$51,49,FALSE)),$B41,1))&gt;0,N$1/2,0))</f>
        <v>0</v>
      </c>
      <c r="O41">
        <f ca="1">IF(HLOOKUP('Inputs and Outputs'!$D$16,'Neighborhood Characteristics'!$C$3:$BJ$49,'Neighborhood Matching Prefs'!$C41+1,FALSE)&gt;0,HLOOKUP('Inputs and Outputs'!$D$16,'Neighborhood Characteristics'!$C$3:$BJ$49,'Neighborhood Matching Prefs'!$C41+1,FALSE)*O$1,IF(SUM(OFFSET('Neighborhood Characteristics'!$C$3,$A41,(HLOOKUP('Inputs and Outputs'!$D$16,'Neighborhood Characteristics'!$C$3:$BJ$51,49,FALSE)),$B41,1))&gt;0,O$1/2,0))</f>
        <v>10</v>
      </c>
      <c r="P41">
        <f ca="1">IF(HLOOKUP('Inputs and Outputs'!$D$17,'Neighborhood Characteristics'!$C$3:$BJ$49,'Neighborhood Matching Prefs'!$C41+1,FALSE)&gt;0,HLOOKUP('Inputs and Outputs'!$D$17,'Neighborhood Characteristics'!$C$3:$BJ$49,'Neighborhood Matching Prefs'!$C41+1,FALSE)*P$1,IF(SUM(OFFSET('Neighborhood Characteristics'!$C$3,$A41,(HLOOKUP('Inputs and Outputs'!$D$17,'Neighborhood Characteristics'!$C$3:$BJ$51,49,FALSE)),$B41,1))&gt;0,P$1/2,0))</f>
        <v>10</v>
      </c>
      <c r="Q41" s="78">
        <f>IFERROR(HLOOKUP(D41,'Commuter Model'!$C$12:$AS$61,50,FALSE),0)*$Q$1</f>
        <v>3</v>
      </c>
      <c r="R41">
        <f t="shared" ca="1" si="0"/>
        <v>88</v>
      </c>
      <c r="S41">
        <f t="shared" ca="1" si="1"/>
        <v>24</v>
      </c>
      <c r="T41">
        <f ca="1">IF(COUNTIF($S$2:S40,S41)&gt;0,COUNTIF($S$2:S40,S41)+S41,S41)</f>
        <v>24</v>
      </c>
      <c r="U41" t="s">
        <v>68</v>
      </c>
    </row>
    <row r="42" spans="1:21">
      <c r="A42">
        <v>39</v>
      </c>
      <c r="B42">
        <v>8</v>
      </c>
      <c r="C42">
        <f t="shared" si="2"/>
        <v>39</v>
      </c>
      <c r="D42" s="1" t="s">
        <v>69</v>
      </c>
      <c r="E42">
        <f ca="1">IF(HLOOKUP('Inputs and Outputs'!$D$6,'Neighborhood Characteristics'!$C$3:$BJ$49,'Neighborhood Matching Prefs'!$C42+1,FALSE)&gt;0,HLOOKUP('Inputs and Outputs'!$D$6,'Neighborhood Characteristics'!$C$3:$BJ$49,'Neighborhood Matching Prefs'!$C42+1,FALSE)*E$1,IF(SUM(OFFSET('Neighborhood Characteristics'!$C$3,$A42,(HLOOKUP('Inputs and Outputs'!$D$6,'Neighborhood Characteristics'!$C$3:$BJ$51,49,FALSE)),$B42,1))&gt;0,E$1/2,0))</f>
        <v>0</v>
      </c>
      <c r="F42">
        <f ca="1">IF(HLOOKUP('Inputs and Outputs'!$D$7,'Neighborhood Characteristics'!$C$3:$BJ$49,'Neighborhood Matching Prefs'!$C42+1,FALSE)&gt;0,HLOOKUP('Inputs and Outputs'!$D$7,'Neighborhood Characteristics'!$C$3:$BJ$49,'Neighborhood Matching Prefs'!$C42+1,FALSE)*F$1,IF(SUM(OFFSET('Neighborhood Characteristics'!$C$3,$A42,(HLOOKUP('Inputs and Outputs'!$D$7,'Neighborhood Characteristics'!$C$3:$BJ$51,49,FALSE)),$B42,1))&gt;0,F$1/2,0))</f>
        <v>7.5</v>
      </c>
      <c r="G42">
        <f ca="1">IF(HLOOKUP('Inputs and Outputs'!$D$8,'Neighborhood Characteristics'!$C$3:$BJ$49,'Neighborhood Matching Prefs'!$C42+1,FALSE)&gt;0,HLOOKUP('Inputs and Outputs'!$D$8,'Neighborhood Characteristics'!$C$3:$BJ$49,'Neighborhood Matching Prefs'!$C42+1,FALSE)*G$1,IF(SUM(OFFSET('Neighborhood Characteristics'!$C$3,$A42,(HLOOKUP('Inputs and Outputs'!$D$8,'Neighborhood Characteristics'!$C$3:$BJ$51,49,FALSE)),$B42,1))&gt;0,G$1/2,0))</f>
        <v>0</v>
      </c>
      <c r="H42">
        <f ca="1">IF(HLOOKUP('Inputs and Outputs'!$D$9,'Neighborhood Characteristics'!$C$3:$BJ$49,'Neighborhood Matching Prefs'!$C42+1,FALSE)&gt;0,HLOOKUP('Inputs and Outputs'!$D$9,'Neighborhood Characteristics'!$C$3:$BJ$49,'Neighborhood Matching Prefs'!$C42+1,FALSE)*H$1,IF(SUM(OFFSET('Neighborhood Characteristics'!$C$3,$A42,(HLOOKUP('Inputs and Outputs'!$D$9,'Neighborhood Characteristics'!$C$3:$BJ$51,49,FALSE)),$B42,1))&gt;0,H$1/2,0))</f>
        <v>0</v>
      </c>
      <c r="I42">
        <f ca="1">IF(HLOOKUP('Inputs and Outputs'!$D$10,'Neighborhood Characteristics'!$C$3:$BJ$49,'Neighborhood Matching Prefs'!$C42+1,FALSE)&gt;0,HLOOKUP('Inputs and Outputs'!$D$10,'Neighborhood Characteristics'!$C$3:$BJ$49,'Neighborhood Matching Prefs'!$C42+1,FALSE)*I$1,IF(SUM(OFFSET('Neighborhood Characteristics'!$C$3,$A42,(HLOOKUP('Inputs and Outputs'!$D$10,'Neighborhood Characteristics'!$C$3:$BJ$51,49,FALSE)),$B42,1))&gt;0,I$1/2,0))</f>
        <v>0</v>
      </c>
      <c r="J42">
        <f ca="1">IF(HLOOKUP('Inputs and Outputs'!$D$11,'Neighborhood Characteristics'!$C$3:$BJ$49,'Neighborhood Matching Prefs'!$C42+1,FALSE)&gt;0,HLOOKUP('Inputs and Outputs'!$D$11,'Neighborhood Characteristics'!$C$3:$BJ$49,'Neighborhood Matching Prefs'!$C42+1,FALSE)*J$1,IF(SUM(OFFSET('Neighborhood Characteristics'!$C$3,$A42,(HLOOKUP('Inputs and Outputs'!$D$11,'Neighborhood Characteristics'!$C$3:$BJ$51,49,FALSE)),$B42,1))&gt;0,J$1/2,0))</f>
        <v>7.5</v>
      </c>
      <c r="K42">
        <f ca="1">IF(HLOOKUP('Inputs and Outputs'!$D$12,'Neighborhood Characteristics'!$C$3:$BJ$49,'Neighborhood Matching Prefs'!$C42+1,FALSE)&gt;0,HLOOKUP('Inputs and Outputs'!$D$12,'Neighborhood Characteristics'!$C$3:$BJ$49,'Neighborhood Matching Prefs'!$C42+1,FALSE)*K$1,IF(SUM(OFFSET('Neighborhood Characteristics'!$C$3,$A42,(HLOOKUP('Inputs and Outputs'!$D$12,'Neighborhood Characteristics'!$C$3:$BJ$51,49,FALSE)),$B42,1))&gt;0,K$1/2,0))</f>
        <v>0</v>
      </c>
      <c r="L42">
        <f ca="1">IF(HLOOKUP('Inputs and Outputs'!$D$13,'Neighborhood Characteristics'!$C$3:$BJ$49,'Neighborhood Matching Prefs'!$C42+1,FALSE)&gt;0,HLOOKUP('Inputs and Outputs'!$D$13,'Neighborhood Characteristics'!$C$3:$BJ$49,'Neighborhood Matching Prefs'!$C42+1,FALSE)*L$1,IF(SUM(OFFSET('Neighborhood Characteristics'!$C$3,$A42,(HLOOKUP('Inputs and Outputs'!$D$13,'Neighborhood Characteristics'!$C$3:$BJ$51,49,FALSE)),$B42,1))&gt;0,L$1/2,0))</f>
        <v>0</v>
      </c>
      <c r="M42">
        <f ca="1">IF(HLOOKUP('Inputs and Outputs'!$D$14,'Neighborhood Characteristics'!$C$3:$BJ$49,'Neighborhood Matching Prefs'!$C42+1,FALSE)&gt;0,HLOOKUP('Inputs and Outputs'!$D$14,'Neighborhood Characteristics'!$C$3:$BJ$49,'Neighborhood Matching Prefs'!$C42+1,FALSE)*M$1,IF(SUM(OFFSET('Neighborhood Characteristics'!$C$3,$A42,(HLOOKUP('Inputs and Outputs'!$D$14,'Neighborhood Characteristics'!$C$3:$BJ$51,49,FALSE)),$B42,1))&gt;0,M$1/2,0))</f>
        <v>0</v>
      </c>
      <c r="N42">
        <f ca="1">IF(HLOOKUP('Inputs and Outputs'!$D$15,'Neighborhood Characteristics'!$C$3:$BJ$49,'Neighborhood Matching Prefs'!$C42+1,FALSE)&gt;0,HLOOKUP('Inputs and Outputs'!$D$15,'Neighborhood Characteristics'!$C$3:$BJ$49,'Neighborhood Matching Prefs'!$C42+1,FALSE)*N$1,IF(SUM(OFFSET('Neighborhood Characteristics'!$C$3,$A42,(HLOOKUP('Inputs and Outputs'!$D$15,'Neighborhood Characteristics'!$C$3:$BJ$51,49,FALSE)),$B42,1))&gt;0,N$1/2,0))</f>
        <v>0</v>
      </c>
      <c r="O42">
        <f ca="1">IF(HLOOKUP('Inputs and Outputs'!$D$16,'Neighborhood Characteristics'!$C$3:$BJ$49,'Neighborhood Matching Prefs'!$C42+1,FALSE)&gt;0,HLOOKUP('Inputs and Outputs'!$D$16,'Neighborhood Characteristics'!$C$3:$BJ$49,'Neighborhood Matching Prefs'!$C42+1,FALSE)*O$1,IF(SUM(OFFSET('Neighborhood Characteristics'!$C$3,$A42,(HLOOKUP('Inputs and Outputs'!$D$16,'Neighborhood Characteristics'!$C$3:$BJ$51,49,FALSE)),$B42,1))&gt;0,O$1/2,0))</f>
        <v>0</v>
      </c>
      <c r="P42">
        <f ca="1">IF(HLOOKUP('Inputs and Outputs'!$D$17,'Neighborhood Characteristics'!$C$3:$BJ$49,'Neighborhood Matching Prefs'!$C42+1,FALSE)&gt;0,HLOOKUP('Inputs and Outputs'!$D$17,'Neighborhood Characteristics'!$C$3:$BJ$49,'Neighborhood Matching Prefs'!$C42+1,FALSE)*P$1,IF(SUM(OFFSET('Neighborhood Characteristics'!$C$3,$A42,(HLOOKUP('Inputs and Outputs'!$D$17,'Neighborhood Characteristics'!$C$3:$BJ$51,49,FALSE)),$B42,1))&gt;0,P$1/2,0))</f>
        <v>10</v>
      </c>
      <c r="Q42" s="78">
        <f>IFERROR(HLOOKUP(D42,'Commuter Model'!$C$12:$AS$61,50,FALSE),0)*$Q$1</f>
        <v>3</v>
      </c>
      <c r="R42">
        <f t="shared" ca="1" si="0"/>
        <v>28</v>
      </c>
      <c r="S42">
        <f t="shared" ca="1" si="1"/>
        <v>41</v>
      </c>
      <c r="T42">
        <f ca="1">IF(COUNTIF($S$2:S41,S42)&gt;0,COUNTIF($S$2:S41,S42)+S42,S42)</f>
        <v>41</v>
      </c>
      <c r="U42" t="s">
        <v>69</v>
      </c>
    </row>
    <row r="43" spans="1:21">
      <c r="A43">
        <v>39</v>
      </c>
      <c r="B43">
        <v>8</v>
      </c>
      <c r="C43">
        <f t="shared" si="2"/>
        <v>40</v>
      </c>
      <c r="D43" s="1" t="s">
        <v>151</v>
      </c>
      <c r="E43">
        <f ca="1">IF(HLOOKUP('Inputs and Outputs'!$D$6,'Neighborhood Characteristics'!$C$3:$BJ$49,'Neighborhood Matching Prefs'!$C43+1,FALSE)&gt;0,HLOOKUP('Inputs and Outputs'!$D$6,'Neighborhood Characteristics'!$C$3:$BJ$49,'Neighborhood Matching Prefs'!$C43+1,FALSE)*E$1,IF(SUM(OFFSET('Neighborhood Characteristics'!$C$3,$A43,(HLOOKUP('Inputs and Outputs'!$D$6,'Neighborhood Characteristics'!$C$3:$BJ$51,49,FALSE)),$B43,1))&gt;0,E$1/2,0))</f>
        <v>0</v>
      </c>
      <c r="F43">
        <f ca="1">IF(HLOOKUP('Inputs and Outputs'!$D$7,'Neighborhood Characteristics'!$C$3:$BJ$49,'Neighborhood Matching Prefs'!$C43+1,FALSE)&gt;0,HLOOKUP('Inputs and Outputs'!$D$7,'Neighborhood Characteristics'!$C$3:$BJ$49,'Neighborhood Matching Prefs'!$C43+1,FALSE)*F$1,IF(SUM(OFFSET('Neighborhood Characteristics'!$C$3,$A43,(HLOOKUP('Inputs and Outputs'!$D$7,'Neighborhood Characteristics'!$C$3:$BJ$51,49,FALSE)),$B43,1))&gt;0,F$1/2,0))</f>
        <v>15</v>
      </c>
      <c r="G43">
        <f ca="1">IF(HLOOKUP('Inputs and Outputs'!$D$8,'Neighborhood Characteristics'!$C$3:$BJ$49,'Neighborhood Matching Prefs'!$C43+1,FALSE)&gt;0,HLOOKUP('Inputs and Outputs'!$D$8,'Neighborhood Characteristics'!$C$3:$BJ$49,'Neighborhood Matching Prefs'!$C43+1,FALSE)*G$1,IF(SUM(OFFSET('Neighborhood Characteristics'!$C$3,$A43,(HLOOKUP('Inputs and Outputs'!$D$8,'Neighborhood Characteristics'!$C$3:$BJ$51,49,FALSE)),$B43,1))&gt;0,G$1/2,0))</f>
        <v>0</v>
      </c>
      <c r="H43">
        <f ca="1">IF(HLOOKUP('Inputs and Outputs'!$D$9,'Neighborhood Characteristics'!$C$3:$BJ$49,'Neighborhood Matching Prefs'!$C43+1,FALSE)&gt;0,HLOOKUP('Inputs and Outputs'!$D$9,'Neighborhood Characteristics'!$C$3:$BJ$49,'Neighborhood Matching Prefs'!$C43+1,FALSE)*H$1,IF(SUM(OFFSET('Neighborhood Characteristics'!$C$3,$A43,(HLOOKUP('Inputs and Outputs'!$D$9,'Neighborhood Characteristics'!$C$3:$BJ$51,49,FALSE)),$B43,1))&gt;0,H$1/2,0))</f>
        <v>0</v>
      </c>
      <c r="I43">
        <f ca="1">IF(HLOOKUP('Inputs and Outputs'!$D$10,'Neighborhood Characteristics'!$C$3:$BJ$49,'Neighborhood Matching Prefs'!$C43+1,FALSE)&gt;0,HLOOKUP('Inputs and Outputs'!$D$10,'Neighborhood Characteristics'!$C$3:$BJ$49,'Neighborhood Matching Prefs'!$C43+1,FALSE)*I$1,IF(SUM(OFFSET('Neighborhood Characteristics'!$C$3,$A43,(HLOOKUP('Inputs and Outputs'!$D$10,'Neighborhood Characteristics'!$C$3:$BJ$51,49,FALSE)),$B43,1))&gt;0,I$1/2,0))</f>
        <v>0</v>
      </c>
      <c r="J43">
        <f ca="1">IF(HLOOKUP('Inputs and Outputs'!$D$11,'Neighborhood Characteristics'!$C$3:$BJ$49,'Neighborhood Matching Prefs'!$C43+1,FALSE)&gt;0,HLOOKUP('Inputs and Outputs'!$D$11,'Neighborhood Characteristics'!$C$3:$BJ$49,'Neighborhood Matching Prefs'!$C43+1,FALSE)*J$1,IF(SUM(OFFSET('Neighborhood Characteristics'!$C$3,$A43,(HLOOKUP('Inputs and Outputs'!$D$11,'Neighborhood Characteristics'!$C$3:$BJ$51,49,FALSE)),$B43,1))&gt;0,J$1/2,0))</f>
        <v>7.5</v>
      </c>
      <c r="K43">
        <f ca="1">IF(HLOOKUP('Inputs and Outputs'!$D$12,'Neighborhood Characteristics'!$C$3:$BJ$49,'Neighborhood Matching Prefs'!$C43+1,FALSE)&gt;0,HLOOKUP('Inputs and Outputs'!$D$12,'Neighborhood Characteristics'!$C$3:$BJ$49,'Neighborhood Matching Prefs'!$C43+1,FALSE)*K$1,IF(SUM(OFFSET('Neighborhood Characteristics'!$C$3,$A43,(HLOOKUP('Inputs and Outputs'!$D$12,'Neighborhood Characteristics'!$C$3:$BJ$51,49,FALSE)),$B43,1))&gt;0,K$1/2,0))</f>
        <v>0</v>
      </c>
      <c r="L43">
        <f ca="1">IF(HLOOKUP('Inputs and Outputs'!$D$13,'Neighborhood Characteristics'!$C$3:$BJ$49,'Neighborhood Matching Prefs'!$C43+1,FALSE)&gt;0,HLOOKUP('Inputs and Outputs'!$D$13,'Neighborhood Characteristics'!$C$3:$BJ$49,'Neighborhood Matching Prefs'!$C43+1,FALSE)*L$1,IF(SUM(OFFSET('Neighborhood Characteristics'!$C$3,$A43,(HLOOKUP('Inputs and Outputs'!$D$13,'Neighborhood Characteristics'!$C$3:$BJ$51,49,FALSE)),$B43,1))&gt;0,L$1/2,0))</f>
        <v>0</v>
      </c>
      <c r="M43">
        <f ca="1">IF(HLOOKUP('Inputs and Outputs'!$D$14,'Neighborhood Characteristics'!$C$3:$BJ$49,'Neighborhood Matching Prefs'!$C43+1,FALSE)&gt;0,HLOOKUP('Inputs and Outputs'!$D$14,'Neighborhood Characteristics'!$C$3:$BJ$49,'Neighborhood Matching Prefs'!$C43+1,FALSE)*M$1,IF(SUM(OFFSET('Neighborhood Characteristics'!$C$3,$A43,(HLOOKUP('Inputs and Outputs'!$D$14,'Neighborhood Characteristics'!$C$3:$BJ$51,49,FALSE)),$B43,1))&gt;0,M$1/2,0))</f>
        <v>0</v>
      </c>
      <c r="N43">
        <f ca="1">IF(HLOOKUP('Inputs and Outputs'!$D$15,'Neighborhood Characteristics'!$C$3:$BJ$49,'Neighborhood Matching Prefs'!$C43+1,FALSE)&gt;0,HLOOKUP('Inputs and Outputs'!$D$15,'Neighborhood Characteristics'!$C$3:$BJ$49,'Neighborhood Matching Prefs'!$C43+1,FALSE)*N$1,IF(SUM(OFFSET('Neighborhood Characteristics'!$C$3,$A43,(HLOOKUP('Inputs and Outputs'!$D$15,'Neighborhood Characteristics'!$C$3:$BJ$51,49,FALSE)),$B43,1))&gt;0,N$1/2,0))</f>
        <v>0</v>
      </c>
      <c r="O43">
        <f ca="1">IF(HLOOKUP('Inputs and Outputs'!$D$16,'Neighborhood Characteristics'!$C$3:$BJ$49,'Neighborhood Matching Prefs'!$C43+1,FALSE)&gt;0,HLOOKUP('Inputs and Outputs'!$D$16,'Neighborhood Characteristics'!$C$3:$BJ$49,'Neighborhood Matching Prefs'!$C43+1,FALSE)*O$1,IF(SUM(OFFSET('Neighborhood Characteristics'!$C$3,$A43,(HLOOKUP('Inputs and Outputs'!$D$16,'Neighborhood Characteristics'!$C$3:$BJ$51,49,FALSE)),$B43,1))&gt;0,O$1/2,0))</f>
        <v>0</v>
      </c>
      <c r="P43">
        <f ca="1">IF(HLOOKUP('Inputs and Outputs'!$D$17,'Neighborhood Characteristics'!$C$3:$BJ$49,'Neighborhood Matching Prefs'!$C43+1,FALSE)&gt;0,HLOOKUP('Inputs and Outputs'!$D$17,'Neighborhood Characteristics'!$C$3:$BJ$49,'Neighborhood Matching Prefs'!$C43+1,FALSE)*P$1,IF(SUM(OFFSET('Neighborhood Characteristics'!$C$3,$A43,(HLOOKUP('Inputs and Outputs'!$D$17,'Neighborhood Characteristics'!$C$3:$BJ$51,49,FALSE)),$B43,1))&gt;0,P$1/2,0))</f>
        <v>10</v>
      </c>
      <c r="Q43" s="78">
        <f>IFERROR(HLOOKUP(D43,'Commuter Model'!$C$12:$AS$61,50,FALSE),0)*$Q$1</f>
        <v>10</v>
      </c>
      <c r="R43">
        <f t="shared" ca="1" si="0"/>
        <v>42.5</v>
      </c>
      <c r="S43">
        <f t="shared" ca="1" si="1"/>
        <v>39</v>
      </c>
      <c r="T43">
        <f ca="1">IF(COUNTIF($S$2:S42,S43)&gt;0,COUNTIF($S$2:S42,S43)+S43,S43)</f>
        <v>39</v>
      </c>
      <c r="U43" t="s">
        <v>151</v>
      </c>
    </row>
    <row r="44" spans="1:21">
      <c r="A44">
        <v>39</v>
      </c>
      <c r="B44">
        <v>8</v>
      </c>
      <c r="C44">
        <f t="shared" si="2"/>
        <v>41</v>
      </c>
      <c r="D44" s="1" t="s">
        <v>149</v>
      </c>
      <c r="E44">
        <f ca="1">IF(HLOOKUP('Inputs and Outputs'!$D$6,'Neighborhood Characteristics'!$C$3:$BJ$49,'Neighborhood Matching Prefs'!$C44+1,FALSE)&gt;0,HLOOKUP('Inputs and Outputs'!$D$6,'Neighborhood Characteristics'!$C$3:$BJ$49,'Neighborhood Matching Prefs'!$C44+1,FALSE)*E$1,IF(SUM(OFFSET('Neighborhood Characteristics'!$C$3,$A44,(HLOOKUP('Inputs and Outputs'!$D$6,'Neighborhood Characteristics'!$C$3:$BJ$51,49,FALSE)),$B44,1))&gt;0,E$1/2,0))</f>
        <v>0</v>
      </c>
      <c r="F44">
        <f ca="1">IF(HLOOKUP('Inputs and Outputs'!$D$7,'Neighborhood Characteristics'!$C$3:$BJ$49,'Neighborhood Matching Prefs'!$C44+1,FALSE)&gt;0,HLOOKUP('Inputs and Outputs'!$D$7,'Neighborhood Characteristics'!$C$3:$BJ$49,'Neighborhood Matching Prefs'!$C44+1,FALSE)*F$1,IF(SUM(OFFSET('Neighborhood Characteristics'!$C$3,$A44,(HLOOKUP('Inputs and Outputs'!$D$7,'Neighborhood Characteristics'!$C$3:$BJ$51,49,FALSE)),$B44,1))&gt;0,F$1/2,0))</f>
        <v>7.5</v>
      </c>
      <c r="G44">
        <f ca="1">IF(HLOOKUP('Inputs and Outputs'!$D$8,'Neighborhood Characteristics'!$C$3:$BJ$49,'Neighborhood Matching Prefs'!$C44+1,FALSE)&gt;0,HLOOKUP('Inputs and Outputs'!$D$8,'Neighborhood Characteristics'!$C$3:$BJ$49,'Neighborhood Matching Prefs'!$C44+1,FALSE)*G$1,IF(SUM(OFFSET('Neighborhood Characteristics'!$C$3,$A44,(HLOOKUP('Inputs and Outputs'!$D$8,'Neighborhood Characteristics'!$C$3:$BJ$51,49,FALSE)),$B44,1))&gt;0,G$1/2,0))</f>
        <v>0</v>
      </c>
      <c r="H44">
        <f ca="1">IF(HLOOKUP('Inputs and Outputs'!$D$9,'Neighborhood Characteristics'!$C$3:$BJ$49,'Neighborhood Matching Prefs'!$C44+1,FALSE)&gt;0,HLOOKUP('Inputs and Outputs'!$D$9,'Neighborhood Characteristics'!$C$3:$BJ$49,'Neighborhood Matching Prefs'!$C44+1,FALSE)*H$1,IF(SUM(OFFSET('Neighborhood Characteristics'!$C$3,$A44,(HLOOKUP('Inputs and Outputs'!$D$9,'Neighborhood Characteristics'!$C$3:$BJ$51,49,FALSE)),$B44,1))&gt;0,H$1/2,0))</f>
        <v>0</v>
      </c>
      <c r="I44">
        <f ca="1">IF(HLOOKUP('Inputs and Outputs'!$D$10,'Neighborhood Characteristics'!$C$3:$BJ$49,'Neighborhood Matching Prefs'!$C44+1,FALSE)&gt;0,HLOOKUP('Inputs and Outputs'!$D$10,'Neighborhood Characteristics'!$C$3:$BJ$49,'Neighborhood Matching Prefs'!$C44+1,FALSE)*I$1,IF(SUM(OFFSET('Neighborhood Characteristics'!$C$3,$A44,(HLOOKUP('Inputs and Outputs'!$D$10,'Neighborhood Characteristics'!$C$3:$BJ$51,49,FALSE)),$B44,1))&gt;0,I$1/2,0))</f>
        <v>0</v>
      </c>
      <c r="J44">
        <f ca="1">IF(HLOOKUP('Inputs and Outputs'!$D$11,'Neighborhood Characteristics'!$C$3:$BJ$49,'Neighborhood Matching Prefs'!$C44+1,FALSE)&gt;0,HLOOKUP('Inputs and Outputs'!$D$11,'Neighborhood Characteristics'!$C$3:$BJ$49,'Neighborhood Matching Prefs'!$C44+1,FALSE)*J$1,IF(SUM(OFFSET('Neighborhood Characteristics'!$C$3,$A44,(HLOOKUP('Inputs and Outputs'!$D$11,'Neighborhood Characteristics'!$C$3:$BJ$51,49,FALSE)),$B44,1))&gt;0,J$1/2,0))</f>
        <v>7.5</v>
      </c>
      <c r="K44">
        <f ca="1">IF(HLOOKUP('Inputs and Outputs'!$D$12,'Neighborhood Characteristics'!$C$3:$BJ$49,'Neighborhood Matching Prefs'!$C44+1,FALSE)&gt;0,HLOOKUP('Inputs and Outputs'!$D$12,'Neighborhood Characteristics'!$C$3:$BJ$49,'Neighborhood Matching Prefs'!$C44+1,FALSE)*K$1,IF(SUM(OFFSET('Neighborhood Characteristics'!$C$3,$A44,(HLOOKUP('Inputs and Outputs'!$D$12,'Neighborhood Characteristics'!$C$3:$BJ$51,49,FALSE)),$B44,1))&gt;0,K$1/2,0))</f>
        <v>0</v>
      </c>
      <c r="L44">
        <f ca="1">IF(HLOOKUP('Inputs and Outputs'!$D$13,'Neighborhood Characteristics'!$C$3:$BJ$49,'Neighborhood Matching Prefs'!$C44+1,FALSE)&gt;0,HLOOKUP('Inputs and Outputs'!$D$13,'Neighborhood Characteristics'!$C$3:$BJ$49,'Neighborhood Matching Prefs'!$C44+1,FALSE)*L$1,IF(SUM(OFFSET('Neighborhood Characteristics'!$C$3,$A44,(HLOOKUP('Inputs and Outputs'!$D$13,'Neighborhood Characteristics'!$C$3:$BJ$51,49,FALSE)),$B44,1))&gt;0,L$1/2,0))</f>
        <v>0</v>
      </c>
      <c r="M44">
        <f ca="1">IF(HLOOKUP('Inputs and Outputs'!$D$14,'Neighborhood Characteristics'!$C$3:$BJ$49,'Neighborhood Matching Prefs'!$C44+1,FALSE)&gt;0,HLOOKUP('Inputs and Outputs'!$D$14,'Neighborhood Characteristics'!$C$3:$BJ$49,'Neighborhood Matching Prefs'!$C44+1,FALSE)*M$1,IF(SUM(OFFSET('Neighborhood Characteristics'!$C$3,$A44,(HLOOKUP('Inputs and Outputs'!$D$14,'Neighborhood Characteristics'!$C$3:$BJ$51,49,FALSE)),$B44,1))&gt;0,M$1/2,0))</f>
        <v>0</v>
      </c>
      <c r="N44">
        <f ca="1">IF(HLOOKUP('Inputs and Outputs'!$D$15,'Neighborhood Characteristics'!$C$3:$BJ$49,'Neighborhood Matching Prefs'!$C44+1,FALSE)&gt;0,HLOOKUP('Inputs and Outputs'!$D$15,'Neighborhood Characteristics'!$C$3:$BJ$49,'Neighborhood Matching Prefs'!$C44+1,FALSE)*N$1,IF(SUM(OFFSET('Neighborhood Characteristics'!$C$3,$A44,(HLOOKUP('Inputs and Outputs'!$D$15,'Neighborhood Characteristics'!$C$3:$BJ$51,49,FALSE)),$B44,1))&gt;0,N$1/2,0))</f>
        <v>0</v>
      </c>
      <c r="O44">
        <f ca="1">IF(HLOOKUP('Inputs and Outputs'!$D$16,'Neighborhood Characteristics'!$C$3:$BJ$49,'Neighborhood Matching Prefs'!$C44+1,FALSE)&gt;0,HLOOKUP('Inputs and Outputs'!$D$16,'Neighborhood Characteristics'!$C$3:$BJ$49,'Neighborhood Matching Prefs'!$C44+1,FALSE)*O$1,IF(SUM(OFFSET('Neighborhood Characteristics'!$C$3,$A44,(HLOOKUP('Inputs and Outputs'!$D$16,'Neighborhood Characteristics'!$C$3:$BJ$51,49,FALSE)),$B44,1))&gt;0,O$1/2,0))</f>
        <v>0</v>
      </c>
      <c r="P44">
        <f ca="1">IF(HLOOKUP('Inputs and Outputs'!$D$17,'Neighborhood Characteristics'!$C$3:$BJ$49,'Neighborhood Matching Prefs'!$C44+1,FALSE)&gt;0,HLOOKUP('Inputs and Outputs'!$D$17,'Neighborhood Characteristics'!$C$3:$BJ$49,'Neighborhood Matching Prefs'!$C44+1,FALSE)*P$1,IF(SUM(OFFSET('Neighborhood Characteristics'!$C$3,$A44,(HLOOKUP('Inputs and Outputs'!$D$17,'Neighborhood Characteristics'!$C$3:$BJ$51,49,FALSE)),$B44,1))&gt;0,P$1/2,0))</f>
        <v>10</v>
      </c>
      <c r="Q44" s="78">
        <f>IFERROR(HLOOKUP(D44,'Commuter Model'!$C$12:$AS$61,50,FALSE),0)*$Q$1</f>
        <v>0</v>
      </c>
      <c r="R44">
        <f t="shared" ca="1" si="0"/>
        <v>25</v>
      </c>
      <c r="S44">
        <f t="shared" ca="1" si="1"/>
        <v>42</v>
      </c>
      <c r="T44">
        <f ca="1">IF(COUNTIF($S$2:S43,S44)&gt;0,COUNTIF($S$2:S43,S44)+S44,S44)</f>
        <v>42</v>
      </c>
      <c r="U44" t="s">
        <v>149</v>
      </c>
    </row>
    <row r="45" spans="1:21">
      <c r="A45">
        <v>39</v>
      </c>
      <c r="B45">
        <v>8</v>
      </c>
      <c r="C45">
        <f t="shared" si="2"/>
        <v>42</v>
      </c>
      <c r="D45" s="1" t="s">
        <v>147</v>
      </c>
      <c r="E45">
        <f ca="1">IF(HLOOKUP('Inputs and Outputs'!$D$6,'Neighborhood Characteristics'!$C$3:$BJ$49,'Neighborhood Matching Prefs'!$C45+1,FALSE)&gt;0,HLOOKUP('Inputs and Outputs'!$D$6,'Neighborhood Characteristics'!$C$3:$BJ$49,'Neighborhood Matching Prefs'!$C45+1,FALSE)*E$1,IF(SUM(OFFSET('Neighborhood Characteristics'!$C$3,$A45,(HLOOKUP('Inputs and Outputs'!$D$6,'Neighborhood Characteristics'!$C$3:$BJ$51,49,FALSE)),$B45,1))&gt;0,E$1/2,0))</f>
        <v>0</v>
      </c>
      <c r="F45">
        <f ca="1">IF(HLOOKUP('Inputs and Outputs'!$D$7,'Neighborhood Characteristics'!$C$3:$BJ$49,'Neighborhood Matching Prefs'!$C45+1,FALSE)&gt;0,HLOOKUP('Inputs and Outputs'!$D$7,'Neighborhood Characteristics'!$C$3:$BJ$49,'Neighborhood Matching Prefs'!$C45+1,FALSE)*F$1,IF(SUM(OFFSET('Neighborhood Characteristics'!$C$3,$A45,(HLOOKUP('Inputs and Outputs'!$D$7,'Neighborhood Characteristics'!$C$3:$BJ$51,49,FALSE)),$B45,1))&gt;0,F$1/2,0))</f>
        <v>7.5</v>
      </c>
      <c r="G45">
        <f ca="1">IF(HLOOKUP('Inputs and Outputs'!$D$8,'Neighborhood Characteristics'!$C$3:$BJ$49,'Neighborhood Matching Prefs'!$C45+1,FALSE)&gt;0,HLOOKUP('Inputs and Outputs'!$D$8,'Neighborhood Characteristics'!$C$3:$BJ$49,'Neighborhood Matching Prefs'!$C45+1,FALSE)*G$1,IF(SUM(OFFSET('Neighborhood Characteristics'!$C$3,$A45,(HLOOKUP('Inputs and Outputs'!$D$8,'Neighborhood Characteristics'!$C$3:$BJ$51,49,FALSE)),$B45,1))&gt;0,G$1/2,0))</f>
        <v>0</v>
      </c>
      <c r="H45">
        <f ca="1">IF(HLOOKUP('Inputs and Outputs'!$D$9,'Neighborhood Characteristics'!$C$3:$BJ$49,'Neighborhood Matching Prefs'!$C45+1,FALSE)&gt;0,HLOOKUP('Inputs and Outputs'!$D$9,'Neighborhood Characteristics'!$C$3:$BJ$49,'Neighborhood Matching Prefs'!$C45+1,FALSE)*H$1,IF(SUM(OFFSET('Neighborhood Characteristics'!$C$3,$A45,(HLOOKUP('Inputs and Outputs'!$D$9,'Neighborhood Characteristics'!$C$3:$BJ$51,49,FALSE)),$B45,1))&gt;0,H$1/2,0))</f>
        <v>0</v>
      </c>
      <c r="I45">
        <f ca="1">IF(HLOOKUP('Inputs and Outputs'!$D$10,'Neighborhood Characteristics'!$C$3:$BJ$49,'Neighborhood Matching Prefs'!$C45+1,FALSE)&gt;0,HLOOKUP('Inputs and Outputs'!$D$10,'Neighborhood Characteristics'!$C$3:$BJ$49,'Neighborhood Matching Prefs'!$C45+1,FALSE)*I$1,IF(SUM(OFFSET('Neighborhood Characteristics'!$C$3,$A45,(HLOOKUP('Inputs and Outputs'!$D$10,'Neighborhood Characteristics'!$C$3:$BJ$51,49,FALSE)),$B45,1))&gt;0,I$1/2,0))</f>
        <v>0</v>
      </c>
      <c r="J45">
        <f ca="1">IF(HLOOKUP('Inputs and Outputs'!$D$11,'Neighborhood Characteristics'!$C$3:$BJ$49,'Neighborhood Matching Prefs'!$C45+1,FALSE)&gt;0,HLOOKUP('Inputs and Outputs'!$D$11,'Neighborhood Characteristics'!$C$3:$BJ$49,'Neighborhood Matching Prefs'!$C45+1,FALSE)*J$1,IF(SUM(OFFSET('Neighborhood Characteristics'!$C$3,$A45,(HLOOKUP('Inputs and Outputs'!$D$11,'Neighborhood Characteristics'!$C$3:$BJ$51,49,FALSE)),$B45,1))&gt;0,J$1/2,0))</f>
        <v>7.5</v>
      </c>
      <c r="K45">
        <f ca="1">IF(HLOOKUP('Inputs and Outputs'!$D$12,'Neighborhood Characteristics'!$C$3:$BJ$49,'Neighborhood Matching Prefs'!$C45+1,FALSE)&gt;0,HLOOKUP('Inputs and Outputs'!$D$12,'Neighborhood Characteristics'!$C$3:$BJ$49,'Neighborhood Matching Prefs'!$C45+1,FALSE)*K$1,IF(SUM(OFFSET('Neighborhood Characteristics'!$C$3,$A45,(HLOOKUP('Inputs and Outputs'!$D$12,'Neighborhood Characteristics'!$C$3:$BJ$51,49,FALSE)),$B45,1))&gt;0,K$1/2,0))</f>
        <v>0</v>
      </c>
      <c r="L45">
        <f ca="1">IF(HLOOKUP('Inputs and Outputs'!$D$13,'Neighborhood Characteristics'!$C$3:$BJ$49,'Neighborhood Matching Prefs'!$C45+1,FALSE)&gt;0,HLOOKUP('Inputs and Outputs'!$D$13,'Neighborhood Characteristics'!$C$3:$BJ$49,'Neighborhood Matching Prefs'!$C45+1,FALSE)*L$1,IF(SUM(OFFSET('Neighborhood Characteristics'!$C$3,$A45,(HLOOKUP('Inputs and Outputs'!$D$13,'Neighborhood Characteristics'!$C$3:$BJ$51,49,FALSE)),$B45,1))&gt;0,L$1/2,0))</f>
        <v>0</v>
      </c>
      <c r="M45">
        <f ca="1">IF(HLOOKUP('Inputs and Outputs'!$D$14,'Neighborhood Characteristics'!$C$3:$BJ$49,'Neighborhood Matching Prefs'!$C45+1,FALSE)&gt;0,HLOOKUP('Inputs and Outputs'!$D$14,'Neighborhood Characteristics'!$C$3:$BJ$49,'Neighborhood Matching Prefs'!$C45+1,FALSE)*M$1,IF(SUM(OFFSET('Neighborhood Characteristics'!$C$3,$A45,(HLOOKUP('Inputs and Outputs'!$D$14,'Neighborhood Characteristics'!$C$3:$BJ$51,49,FALSE)),$B45,1))&gt;0,M$1/2,0))</f>
        <v>0</v>
      </c>
      <c r="N45">
        <f ca="1">IF(HLOOKUP('Inputs and Outputs'!$D$15,'Neighborhood Characteristics'!$C$3:$BJ$49,'Neighborhood Matching Prefs'!$C45+1,FALSE)&gt;0,HLOOKUP('Inputs and Outputs'!$D$15,'Neighborhood Characteristics'!$C$3:$BJ$49,'Neighborhood Matching Prefs'!$C45+1,FALSE)*N$1,IF(SUM(OFFSET('Neighborhood Characteristics'!$C$3,$A45,(HLOOKUP('Inputs and Outputs'!$D$15,'Neighborhood Characteristics'!$C$3:$BJ$51,49,FALSE)),$B45,1))&gt;0,N$1/2,0))</f>
        <v>0</v>
      </c>
      <c r="O45">
        <f ca="1">IF(HLOOKUP('Inputs and Outputs'!$D$16,'Neighborhood Characteristics'!$C$3:$BJ$49,'Neighborhood Matching Prefs'!$C45+1,FALSE)&gt;0,HLOOKUP('Inputs and Outputs'!$D$16,'Neighborhood Characteristics'!$C$3:$BJ$49,'Neighborhood Matching Prefs'!$C45+1,FALSE)*O$1,IF(SUM(OFFSET('Neighborhood Characteristics'!$C$3,$A45,(HLOOKUP('Inputs and Outputs'!$D$16,'Neighborhood Characteristics'!$C$3:$BJ$51,49,FALSE)),$B45,1))&gt;0,O$1/2,0))</f>
        <v>0</v>
      </c>
      <c r="P45">
        <f ca="1">IF(HLOOKUP('Inputs and Outputs'!$D$17,'Neighborhood Characteristics'!$C$3:$BJ$49,'Neighborhood Matching Prefs'!$C45+1,FALSE)&gt;0,HLOOKUP('Inputs and Outputs'!$D$17,'Neighborhood Characteristics'!$C$3:$BJ$49,'Neighborhood Matching Prefs'!$C45+1,FALSE)*P$1,IF(SUM(OFFSET('Neighborhood Characteristics'!$C$3,$A45,(HLOOKUP('Inputs and Outputs'!$D$17,'Neighborhood Characteristics'!$C$3:$BJ$51,49,FALSE)),$B45,1))&gt;0,P$1/2,0))</f>
        <v>10</v>
      </c>
      <c r="Q45" s="78">
        <f>IFERROR(HLOOKUP(D45,'Commuter Model'!$C$12:$AS$61,50,FALSE),0)*$Q$1</f>
        <v>0</v>
      </c>
      <c r="R45">
        <f t="shared" ca="1" si="0"/>
        <v>25</v>
      </c>
      <c r="S45">
        <f t="shared" ca="1" si="1"/>
        <v>42</v>
      </c>
      <c r="T45">
        <f ca="1">IF(COUNTIF($S$2:S44,S45)&gt;0,COUNTIF($S$2:S44,S45)+S45,S45)</f>
        <v>43</v>
      </c>
      <c r="U45" t="s">
        <v>147</v>
      </c>
    </row>
    <row r="46" spans="1:21">
      <c r="A46">
        <v>39</v>
      </c>
      <c r="B46">
        <v>8</v>
      </c>
      <c r="C46">
        <f t="shared" si="2"/>
        <v>43</v>
      </c>
      <c r="D46" s="1" t="s">
        <v>70</v>
      </c>
      <c r="E46">
        <f ca="1">IF(HLOOKUP('Inputs and Outputs'!$D$6,'Neighborhood Characteristics'!$C$3:$BJ$49,'Neighborhood Matching Prefs'!$C46+1,FALSE)&gt;0,HLOOKUP('Inputs and Outputs'!$D$6,'Neighborhood Characteristics'!$C$3:$BJ$49,'Neighborhood Matching Prefs'!$C46+1,FALSE)*E$1,IF(SUM(OFFSET('Neighborhood Characteristics'!$C$3,$A46,(HLOOKUP('Inputs and Outputs'!$D$6,'Neighborhood Characteristics'!$C$3:$BJ$51,49,FALSE)),$B46,1))&gt;0,E$1/2,0))</f>
        <v>0</v>
      </c>
      <c r="F46">
        <f ca="1">IF(HLOOKUP('Inputs and Outputs'!$D$7,'Neighborhood Characteristics'!$C$3:$BJ$49,'Neighborhood Matching Prefs'!$C46+1,FALSE)&gt;0,HLOOKUP('Inputs and Outputs'!$D$7,'Neighborhood Characteristics'!$C$3:$BJ$49,'Neighborhood Matching Prefs'!$C46+1,FALSE)*F$1,IF(SUM(OFFSET('Neighborhood Characteristics'!$C$3,$A46,(HLOOKUP('Inputs and Outputs'!$D$7,'Neighborhood Characteristics'!$C$3:$BJ$51,49,FALSE)),$B46,1))&gt;0,F$1/2,0))</f>
        <v>7.5</v>
      </c>
      <c r="G46">
        <f ca="1">IF(HLOOKUP('Inputs and Outputs'!$D$8,'Neighborhood Characteristics'!$C$3:$BJ$49,'Neighborhood Matching Prefs'!$C46+1,FALSE)&gt;0,HLOOKUP('Inputs and Outputs'!$D$8,'Neighborhood Characteristics'!$C$3:$BJ$49,'Neighborhood Matching Prefs'!$C46+1,FALSE)*G$1,IF(SUM(OFFSET('Neighborhood Characteristics'!$C$3,$A46,(HLOOKUP('Inputs and Outputs'!$D$8,'Neighborhood Characteristics'!$C$3:$BJ$51,49,FALSE)),$B46,1))&gt;0,G$1/2,0))</f>
        <v>0</v>
      </c>
      <c r="H46">
        <f ca="1">IF(HLOOKUP('Inputs and Outputs'!$D$9,'Neighborhood Characteristics'!$C$3:$BJ$49,'Neighborhood Matching Prefs'!$C46+1,FALSE)&gt;0,HLOOKUP('Inputs and Outputs'!$D$9,'Neighborhood Characteristics'!$C$3:$BJ$49,'Neighborhood Matching Prefs'!$C46+1,FALSE)*H$1,IF(SUM(OFFSET('Neighborhood Characteristics'!$C$3,$A46,(HLOOKUP('Inputs and Outputs'!$D$9,'Neighborhood Characteristics'!$C$3:$BJ$51,49,FALSE)),$B46,1))&gt;0,H$1/2,0))</f>
        <v>0</v>
      </c>
      <c r="I46">
        <f ca="1">IF(HLOOKUP('Inputs and Outputs'!$D$10,'Neighborhood Characteristics'!$C$3:$BJ$49,'Neighborhood Matching Prefs'!$C46+1,FALSE)&gt;0,HLOOKUP('Inputs and Outputs'!$D$10,'Neighborhood Characteristics'!$C$3:$BJ$49,'Neighborhood Matching Prefs'!$C46+1,FALSE)*I$1,IF(SUM(OFFSET('Neighborhood Characteristics'!$C$3,$A46,(HLOOKUP('Inputs and Outputs'!$D$10,'Neighborhood Characteristics'!$C$3:$BJ$51,49,FALSE)),$B46,1))&gt;0,I$1/2,0))</f>
        <v>0</v>
      </c>
      <c r="J46">
        <f ca="1">IF(HLOOKUP('Inputs and Outputs'!$D$11,'Neighborhood Characteristics'!$C$3:$BJ$49,'Neighborhood Matching Prefs'!$C46+1,FALSE)&gt;0,HLOOKUP('Inputs and Outputs'!$D$11,'Neighborhood Characteristics'!$C$3:$BJ$49,'Neighborhood Matching Prefs'!$C46+1,FALSE)*J$1,IF(SUM(OFFSET('Neighborhood Characteristics'!$C$3,$A46,(HLOOKUP('Inputs and Outputs'!$D$11,'Neighborhood Characteristics'!$C$3:$BJ$51,49,FALSE)),$B46,1))&gt;0,J$1/2,0))</f>
        <v>7.5</v>
      </c>
      <c r="K46">
        <f ca="1">IF(HLOOKUP('Inputs and Outputs'!$D$12,'Neighborhood Characteristics'!$C$3:$BJ$49,'Neighborhood Matching Prefs'!$C46+1,FALSE)&gt;0,HLOOKUP('Inputs and Outputs'!$D$12,'Neighborhood Characteristics'!$C$3:$BJ$49,'Neighborhood Matching Prefs'!$C46+1,FALSE)*K$1,IF(SUM(OFFSET('Neighborhood Characteristics'!$C$3,$A46,(HLOOKUP('Inputs and Outputs'!$D$12,'Neighborhood Characteristics'!$C$3:$BJ$51,49,FALSE)),$B46,1))&gt;0,K$1/2,0))</f>
        <v>0</v>
      </c>
      <c r="L46">
        <f ca="1">IF(HLOOKUP('Inputs and Outputs'!$D$13,'Neighborhood Characteristics'!$C$3:$BJ$49,'Neighborhood Matching Prefs'!$C46+1,FALSE)&gt;0,HLOOKUP('Inputs and Outputs'!$D$13,'Neighborhood Characteristics'!$C$3:$BJ$49,'Neighborhood Matching Prefs'!$C46+1,FALSE)*L$1,IF(SUM(OFFSET('Neighborhood Characteristics'!$C$3,$A46,(HLOOKUP('Inputs and Outputs'!$D$13,'Neighborhood Characteristics'!$C$3:$BJ$51,49,FALSE)),$B46,1))&gt;0,L$1/2,0))</f>
        <v>0</v>
      </c>
      <c r="M46">
        <f ca="1">IF(HLOOKUP('Inputs and Outputs'!$D$14,'Neighborhood Characteristics'!$C$3:$BJ$49,'Neighborhood Matching Prefs'!$C46+1,FALSE)&gt;0,HLOOKUP('Inputs and Outputs'!$D$14,'Neighborhood Characteristics'!$C$3:$BJ$49,'Neighborhood Matching Prefs'!$C46+1,FALSE)*M$1,IF(SUM(OFFSET('Neighborhood Characteristics'!$C$3,$A46,(HLOOKUP('Inputs and Outputs'!$D$14,'Neighborhood Characteristics'!$C$3:$BJ$51,49,FALSE)),$B46,1))&gt;0,M$1/2,0))</f>
        <v>0</v>
      </c>
      <c r="N46">
        <f ca="1">IF(HLOOKUP('Inputs and Outputs'!$D$15,'Neighborhood Characteristics'!$C$3:$BJ$49,'Neighborhood Matching Prefs'!$C46+1,FALSE)&gt;0,HLOOKUP('Inputs and Outputs'!$D$15,'Neighborhood Characteristics'!$C$3:$BJ$49,'Neighborhood Matching Prefs'!$C46+1,FALSE)*N$1,IF(SUM(OFFSET('Neighborhood Characteristics'!$C$3,$A46,(HLOOKUP('Inputs and Outputs'!$D$15,'Neighborhood Characteristics'!$C$3:$BJ$51,49,FALSE)),$B46,1))&gt;0,N$1/2,0))</f>
        <v>0</v>
      </c>
      <c r="O46">
        <f ca="1">IF(HLOOKUP('Inputs and Outputs'!$D$16,'Neighborhood Characteristics'!$C$3:$BJ$49,'Neighborhood Matching Prefs'!$C46+1,FALSE)&gt;0,HLOOKUP('Inputs and Outputs'!$D$16,'Neighborhood Characteristics'!$C$3:$BJ$49,'Neighborhood Matching Prefs'!$C46+1,FALSE)*O$1,IF(SUM(OFFSET('Neighborhood Characteristics'!$C$3,$A46,(HLOOKUP('Inputs and Outputs'!$D$16,'Neighborhood Characteristics'!$C$3:$BJ$51,49,FALSE)),$B46,1))&gt;0,O$1/2,0))</f>
        <v>0</v>
      </c>
      <c r="P46">
        <f ca="1">IF(HLOOKUP('Inputs and Outputs'!$D$17,'Neighborhood Characteristics'!$C$3:$BJ$49,'Neighborhood Matching Prefs'!$C46+1,FALSE)&gt;0,HLOOKUP('Inputs and Outputs'!$D$17,'Neighborhood Characteristics'!$C$3:$BJ$49,'Neighborhood Matching Prefs'!$C46+1,FALSE)*P$1,IF(SUM(OFFSET('Neighborhood Characteristics'!$C$3,$A46,(HLOOKUP('Inputs and Outputs'!$D$17,'Neighborhood Characteristics'!$C$3:$BJ$51,49,FALSE)),$B46,1))&gt;0,P$1/2,0))</f>
        <v>5</v>
      </c>
      <c r="Q46" s="78">
        <f>IFERROR(HLOOKUP(D46,'Commuter Model'!$C$12:$AS$61,50,FALSE),0)*$Q$1</f>
        <v>0</v>
      </c>
      <c r="R46">
        <f t="shared" ca="1" si="0"/>
        <v>20</v>
      </c>
      <c r="S46">
        <f t="shared" ca="1" si="1"/>
        <v>46</v>
      </c>
      <c r="T46">
        <f ca="1">IF(COUNTIF($S$2:S45,S46)&gt;0,COUNTIF($S$2:S45,S46)+S46,S46)</f>
        <v>46</v>
      </c>
      <c r="U46" t="s">
        <v>70</v>
      </c>
    </row>
    <row r="47" spans="1:21">
      <c r="A47">
        <v>39</v>
      </c>
      <c r="B47">
        <v>8</v>
      </c>
      <c r="C47">
        <f t="shared" si="2"/>
        <v>44</v>
      </c>
      <c r="D47" s="1" t="s">
        <v>150</v>
      </c>
      <c r="E47">
        <f ca="1">IF(HLOOKUP('Inputs and Outputs'!$D$6,'Neighborhood Characteristics'!$C$3:$BJ$49,'Neighborhood Matching Prefs'!$C47+1,FALSE)&gt;0,HLOOKUP('Inputs and Outputs'!$D$6,'Neighborhood Characteristics'!$C$3:$BJ$49,'Neighborhood Matching Prefs'!$C47+1,FALSE)*E$1,IF(SUM(OFFSET('Neighborhood Characteristics'!$C$3,$A47,(HLOOKUP('Inputs and Outputs'!$D$6,'Neighborhood Characteristics'!$C$3:$BJ$51,49,FALSE)),$B47,1))&gt;0,E$1/2,0))</f>
        <v>0</v>
      </c>
      <c r="F47">
        <f ca="1">IF(HLOOKUP('Inputs and Outputs'!$D$7,'Neighborhood Characteristics'!$C$3:$BJ$49,'Neighborhood Matching Prefs'!$C47+1,FALSE)&gt;0,HLOOKUP('Inputs and Outputs'!$D$7,'Neighborhood Characteristics'!$C$3:$BJ$49,'Neighborhood Matching Prefs'!$C47+1,FALSE)*F$1,IF(SUM(OFFSET('Neighborhood Characteristics'!$C$3,$A47,(HLOOKUP('Inputs and Outputs'!$D$7,'Neighborhood Characteristics'!$C$3:$BJ$51,49,FALSE)),$B47,1))&gt;0,F$1/2,0))</f>
        <v>15</v>
      </c>
      <c r="G47">
        <f ca="1">IF(HLOOKUP('Inputs and Outputs'!$D$8,'Neighborhood Characteristics'!$C$3:$BJ$49,'Neighborhood Matching Prefs'!$C47+1,FALSE)&gt;0,HLOOKUP('Inputs and Outputs'!$D$8,'Neighborhood Characteristics'!$C$3:$BJ$49,'Neighborhood Matching Prefs'!$C47+1,FALSE)*G$1,IF(SUM(OFFSET('Neighborhood Characteristics'!$C$3,$A47,(HLOOKUP('Inputs and Outputs'!$D$8,'Neighborhood Characteristics'!$C$3:$BJ$51,49,FALSE)),$B47,1))&gt;0,G$1/2,0))</f>
        <v>0</v>
      </c>
      <c r="H47">
        <f ca="1">IF(HLOOKUP('Inputs and Outputs'!$D$9,'Neighborhood Characteristics'!$C$3:$BJ$49,'Neighborhood Matching Prefs'!$C47+1,FALSE)&gt;0,HLOOKUP('Inputs and Outputs'!$D$9,'Neighborhood Characteristics'!$C$3:$BJ$49,'Neighborhood Matching Prefs'!$C47+1,FALSE)*H$1,IF(SUM(OFFSET('Neighborhood Characteristics'!$C$3,$A47,(HLOOKUP('Inputs and Outputs'!$D$9,'Neighborhood Characteristics'!$C$3:$BJ$51,49,FALSE)),$B47,1))&gt;0,H$1/2,0))</f>
        <v>0</v>
      </c>
      <c r="I47">
        <f ca="1">IF(HLOOKUP('Inputs and Outputs'!$D$10,'Neighborhood Characteristics'!$C$3:$BJ$49,'Neighborhood Matching Prefs'!$C47+1,FALSE)&gt;0,HLOOKUP('Inputs and Outputs'!$D$10,'Neighborhood Characteristics'!$C$3:$BJ$49,'Neighborhood Matching Prefs'!$C47+1,FALSE)*I$1,IF(SUM(OFFSET('Neighborhood Characteristics'!$C$3,$A47,(HLOOKUP('Inputs and Outputs'!$D$10,'Neighborhood Characteristics'!$C$3:$BJ$51,49,FALSE)),$B47,1))&gt;0,I$1/2,0))</f>
        <v>0</v>
      </c>
      <c r="J47">
        <f ca="1">IF(HLOOKUP('Inputs and Outputs'!$D$11,'Neighborhood Characteristics'!$C$3:$BJ$49,'Neighborhood Matching Prefs'!$C47+1,FALSE)&gt;0,HLOOKUP('Inputs and Outputs'!$D$11,'Neighborhood Characteristics'!$C$3:$BJ$49,'Neighborhood Matching Prefs'!$C47+1,FALSE)*J$1,IF(SUM(OFFSET('Neighborhood Characteristics'!$C$3,$A47,(HLOOKUP('Inputs and Outputs'!$D$11,'Neighborhood Characteristics'!$C$3:$BJ$51,49,FALSE)),$B47,1))&gt;0,J$1/2,0))</f>
        <v>15</v>
      </c>
      <c r="K47">
        <f ca="1">IF(HLOOKUP('Inputs and Outputs'!$D$12,'Neighborhood Characteristics'!$C$3:$BJ$49,'Neighborhood Matching Prefs'!$C47+1,FALSE)&gt;0,HLOOKUP('Inputs and Outputs'!$D$12,'Neighborhood Characteristics'!$C$3:$BJ$49,'Neighborhood Matching Prefs'!$C47+1,FALSE)*K$1,IF(SUM(OFFSET('Neighborhood Characteristics'!$C$3,$A47,(HLOOKUP('Inputs and Outputs'!$D$12,'Neighborhood Characteristics'!$C$3:$BJ$51,49,FALSE)),$B47,1))&gt;0,K$1/2,0))</f>
        <v>0</v>
      </c>
      <c r="L47">
        <f ca="1">IF(HLOOKUP('Inputs and Outputs'!$D$13,'Neighborhood Characteristics'!$C$3:$BJ$49,'Neighborhood Matching Prefs'!$C47+1,FALSE)&gt;0,HLOOKUP('Inputs and Outputs'!$D$13,'Neighborhood Characteristics'!$C$3:$BJ$49,'Neighborhood Matching Prefs'!$C47+1,FALSE)*L$1,IF(SUM(OFFSET('Neighborhood Characteristics'!$C$3,$A47,(HLOOKUP('Inputs and Outputs'!$D$13,'Neighborhood Characteristics'!$C$3:$BJ$51,49,FALSE)),$B47,1))&gt;0,L$1/2,0))</f>
        <v>0</v>
      </c>
      <c r="M47">
        <f ca="1">IF(HLOOKUP('Inputs and Outputs'!$D$14,'Neighborhood Characteristics'!$C$3:$BJ$49,'Neighborhood Matching Prefs'!$C47+1,FALSE)&gt;0,HLOOKUP('Inputs and Outputs'!$D$14,'Neighborhood Characteristics'!$C$3:$BJ$49,'Neighborhood Matching Prefs'!$C47+1,FALSE)*M$1,IF(SUM(OFFSET('Neighborhood Characteristics'!$C$3,$A47,(HLOOKUP('Inputs and Outputs'!$D$14,'Neighborhood Characteristics'!$C$3:$BJ$51,49,FALSE)),$B47,1))&gt;0,M$1/2,0))</f>
        <v>0</v>
      </c>
      <c r="N47">
        <f ca="1">IF(HLOOKUP('Inputs and Outputs'!$D$15,'Neighborhood Characteristics'!$C$3:$BJ$49,'Neighborhood Matching Prefs'!$C47+1,FALSE)&gt;0,HLOOKUP('Inputs and Outputs'!$D$15,'Neighborhood Characteristics'!$C$3:$BJ$49,'Neighborhood Matching Prefs'!$C47+1,FALSE)*N$1,IF(SUM(OFFSET('Neighborhood Characteristics'!$C$3,$A47,(HLOOKUP('Inputs and Outputs'!$D$15,'Neighborhood Characteristics'!$C$3:$BJ$51,49,FALSE)),$B47,1))&gt;0,N$1/2,0))</f>
        <v>0</v>
      </c>
      <c r="O47">
        <f ca="1">IF(HLOOKUP('Inputs and Outputs'!$D$16,'Neighborhood Characteristics'!$C$3:$BJ$49,'Neighborhood Matching Prefs'!$C47+1,FALSE)&gt;0,HLOOKUP('Inputs and Outputs'!$D$16,'Neighborhood Characteristics'!$C$3:$BJ$49,'Neighborhood Matching Prefs'!$C47+1,FALSE)*O$1,IF(SUM(OFFSET('Neighborhood Characteristics'!$C$3,$A47,(HLOOKUP('Inputs and Outputs'!$D$16,'Neighborhood Characteristics'!$C$3:$BJ$51,49,FALSE)),$B47,1))&gt;0,O$1/2,0))</f>
        <v>0</v>
      </c>
      <c r="P47">
        <f ca="1">IF(HLOOKUP('Inputs and Outputs'!$D$17,'Neighborhood Characteristics'!$C$3:$BJ$49,'Neighborhood Matching Prefs'!$C47+1,FALSE)&gt;0,HLOOKUP('Inputs and Outputs'!$D$17,'Neighborhood Characteristics'!$C$3:$BJ$49,'Neighborhood Matching Prefs'!$C47+1,FALSE)*P$1,IF(SUM(OFFSET('Neighborhood Characteristics'!$C$3,$A47,(HLOOKUP('Inputs and Outputs'!$D$17,'Neighborhood Characteristics'!$C$3:$BJ$51,49,FALSE)),$B47,1))&gt;0,P$1/2,0))</f>
        <v>10</v>
      </c>
      <c r="Q47" s="78">
        <f>IFERROR(HLOOKUP(D47,'Commuter Model'!$C$12:$AS$61,50,FALSE),0)*$Q$1</f>
        <v>0</v>
      </c>
      <c r="R47">
        <f t="shared" ca="1" si="0"/>
        <v>40</v>
      </c>
      <c r="S47">
        <f t="shared" ca="1" si="1"/>
        <v>40</v>
      </c>
      <c r="T47">
        <f ca="1">IF(COUNTIF($S$2:S46,S47)&gt;0,COUNTIF($S$2:S46,S47)+S47,S47)</f>
        <v>40</v>
      </c>
      <c r="U47" t="s">
        <v>150</v>
      </c>
    </row>
    <row r="48" spans="1:21">
      <c r="A48">
        <v>39</v>
      </c>
      <c r="B48">
        <v>8</v>
      </c>
      <c r="C48">
        <f t="shared" si="2"/>
        <v>45</v>
      </c>
      <c r="D48" s="1" t="s">
        <v>148</v>
      </c>
      <c r="E48">
        <f ca="1">IF(HLOOKUP('Inputs and Outputs'!$D$6,'Neighborhood Characteristics'!$C$3:$BJ$49,'Neighborhood Matching Prefs'!$C48+1,FALSE)&gt;0,HLOOKUP('Inputs and Outputs'!$D$6,'Neighborhood Characteristics'!$C$3:$BJ$49,'Neighborhood Matching Prefs'!$C48+1,FALSE)*E$1,IF(SUM(OFFSET('Neighborhood Characteristics'!$C$3,$A48,(HLOOKUP('Inputs and Outputs'!$D$6,'Neighborhood Characteristics'!$C$3:$BJ$51,49,FALSE)),$B48,1))&gt;0,E$1/2,0))</f>
        <v>0</v>
      </c>
      <c r="F48">
        <f ca="1">IF(HLOOKUP('Inputs and Outputs'!$D$7,'Neighborhood Characteristics'!$C$3:$BJ$49,'Neighborhood Matching Prefs'!$C48+1,FALSE)&gt;0,HLOOKUP('Inputs and Outputs'!$D$7,'Neighborhood Characteristics'!$C$3:$BJ$49,'Neighborhood Matching Prefs'!$C48+1,FALSE)*F$1,IF(SUM(OFFSET('Neighborhood Characteristics'!$C$3,$A48,(HLOOKUP('Inputs and Outputs'!$D$7,'Neighborhood Characteristics'!$C$3:$BJ$51,49,FALSE)),$B48,1))&gt;0,F$1/2,0))</f>
        <v>7.5</v>
      </c>
      <c r="G48">
        <f ca="1">IF(HLOOKUP('Inputs and Outputs'!$D$8,'Neighborhood Characteristics'!$C$3:$BJ$49,'Neighborhood Matching Prefs'!$C48+1,FALSE)&gt;0,HLOOKUP('Inputs and Outputs'!$D$8,'Neighborhood Characteristics'!$C$3:$BJ$49,'Neighborhood Matching Prefs'!$C48+1,FALSE)*G$1,IF(SUM(OFFSET('Neighborhood Characteristics'!$C$3,$A48,(HLOOKUP('Inputs and Outputs'!$D$8,'Neighborhood Characteristics'!$C$3:$BJ$51,49,FALSE)),$B48,1))&gt;0,G$1/2,0))</f>
        <v>0</v>
      </c>
      <c r="H48">
        <f ca="1">IF(HLOOKUP('Inputs and Outputs'!$D$9,'Neighborhood Characteristics'!$C$3:$BJ$49,'Neighborhood Matching Prefs'!$C48+1,FALSE)&gt;0,HLOOKUP('Inputs and Outputs'!$D$9,'Neighborhood Characteristics'!$C$3:$BJ$49,'Neighborhood Matching Prefs'!$C48+1,FALSE)*H$1,IF(SUM(OFFSET('Neighborhood Characteristics'!$C$3,$A48,(HLOOKUP('Inputs and Outputs'!$D$9,'Neighborhood Characteristics'!$C$3:$BJ$51,49,FALSE)),$B48,1))&gt;0,H$1/2,0))</f>
        <v>0</v>
      </c>
      <c r="I48">
        <f ca="1">IF(HLOOKUP('Inputs and Outputs'!$D$10,'Neighborhood Characteristics'!$C$3:$BJ$49,'Neighborhood Matching Prefs'!$C48+1,FALSE)&gt;0,HLOOKUP('Inputs and Outputs'!$D$10,'Neighborhood Characteristics'!$C$3:$BJ$49,'Neighborhood Matching Prefs'!$C48+1,FALSE)*I$1,IF(SUM(OFFSET('Neighborhood Characteristics'!$C$3,$A48,(HLOOKUP('Inputs and Outputs'!$D$10,'Neighborhood Characteristics'!$C$3:$BJ$51,49,FALSE)),$B48,1))&gt;0,I$1/2,0))</f>
        <v>0</v>
      </c>
      <c r="J48">
        <f ca="1">IF(HLOOKUP('Inputs and Outputs'!$D$11,'Neighborhood Characteristics'!$C$3:$BJ$49,'Neighborhood Matching Prefs'!$C48+1,FALSE)&gt;0,HLOOKUP('Inputs and Outputs'!$D$11,'Neighborhood Characteristics'!$C$3:$BJ$49,'Neighborhood Matching Prefs'!$C48+1,FALSE)*J$1,IF(SUM(OFFSET('Neighborhood Characteristics'!$C$3,$A48,(HLOOKUP('Inputs and Outputs'!$D$11,'Neighborhood Characteristics'!$C$3:$BJ$51,49,FALSE)),$B48,1))&gt;0,J$1/2,0))</f>
        <v>7.5</v>
      </c>
      <c r="K48">
        <f ca="1">IF(HLOOKUP('Inputs and Outputs'!$D$12,'Neighborhood Characteristics'!$C$3:$BJ$49,'Neighborhood Matching Prefs'!$C48+1,FALSE)&gt;0,HLOOKUP('Inputs and Outputs'!$D$12,'Neighborhood Characteristics'!$C$3:$BJ$49,'Neighborhood Matching Prefs'!$C48+1,FALSE)*K$1,IF(SUM(OFFSET('Neighborhood Characteristics'!$C$3,$A48,(HLOOKUP('Inputs and Outputs'!$D$12,'Neighborhood Characteristics'!$C$3:$BJ$51,49,FALSE)),$B48,1))&gt;0,K$1/2,0))</f>
        <v>0</v>
      </c>
      <c r="L48">
        <f ca="1">IF(HLOOKUP('Inputs and Outputs'!$D$13,'Neighborhood Characteristics'!$C$3:$BJ$49,'Neighborhood Matching Prefs'!$C48+1,FALSE)&gt;0,HLOOKUP('Inputs and Outputs'!$D$13,'Neighborhood Characteristics'!$C$3:$BJ$49,'Neighborhood Matching Prefs'!$C48+1,FALSE)*L$1,IF(SUM(OFFSET('Neighborhood Characteristics'!$C$3,$A48,(HLOOKUP('Inputs and Outputs'!$D$13,'Neighborhood Characteristics'!$C$3:$BJ$51,49,FALSE)),$B48,1))&gt;0,L$1/2,0))</f>
        <v>0</v>
      </c>
      <c r="M48">
        <f ca="1">IF(HLOOKUP('Inputs and Outputs'!$D$14,'Neighborhood Characteristics'!$C$3:$BJ$49,'Neighborhood Matching Prefs'!$C48+1,FALSE)&gt;0,HLOOKUP('Inputs and Outputs'!$D$14,'Neighborhood Characteristics'!$C$3:$BJ$49,'Neighborhood Matching Prefs'!$C48+1,FALSE)*M$1,IF(SUM(OFFSET('Neighborhood Characteristics'!$C$3,$A48,(HLOOKUP('Inputs and Outputs'!$D$14,'Neighborhood Characteristics'!$C$3:$BJ$51,49,FALSE)),$B48,1))&gt;0,M$1/2,0))</f>
        <v>0</v>
      </c>
      <c r="N48">
        <f ca="1">IF(HLOOKUP('Inputs and Outputs'!$D$15,'Neighborhood Characteristics'!$C$3:$BJ$49,'Neighborhood Matching Prefs'!$C48+1,FALSE)&gt;0,HLOOKUP('Inputs and Outputs'!$D$15,'Neighborhood Characteristics'!$C$3:$BJ$49,'Neighborhood Matching Prefs'!$C48+1,FALSE)*N$1,IF(SUM(OFFSET('Neighborhood Characteristics'!$C$3,$A48,(HLOOKUP('Inputs and Outputs'!$D$15,'Neighborhood Characteristics'!$C$3:$BJ$51,49,FALSE)),$B48,1))&gt;0,N$1/2,0))</f>
        <v>0</v>
      </c>
      <c r="O48">
        <f ca="1">IF(HLOOKUP('Inputs and Outputs'!$D$16,'Neighborhood Characteristics'!$C$3:$BJ$49,'Neighborhood Matching Prefs'!$C48+1,FALSE)&gt;0,HLOOKUP('Inputs and Outputs'!$D$16,'Neighborhood Characteristics'!$C$3:$BJ$49,'Neighborhood Matching Prefs'!$C48+1,FALSE)*O$1,IF(SUM(OFFSET('Neighborhood Characteristics'!$C$3,$A48,(HLOOKUP('Inputs and Outputs'!$D$16,'Neighborhood Characteristics'!$C$3:$BJ$51,49,FALSE)),$B48,1))&gt;0,O$1/2,0))</f>
        <v>0</v>
      </c>
      <c r="P48">
        <f ca="1">IF(HLOOKUP('Inputs and Outputs'!$D$17,'Neighborhood Characteristics'!$C$3:$BJ$49,'Neighborhood Matching Prefs'!$C48+1,FALSE)&gt;0,HLOOKUP('Inputs and Outputs'!$D$17,'Neighborhood Characteristics'!$C$3:$BJ$49,'Neighborhood Matching Prefs'!$C48+1,FALSE)*P$1,IF(SUM(OFFSET('Neighborhood Characteristics'!$C$3,$A48,(HLOOKUP('Inputs and Outputs'!$D$17,'Neighborhood Characteristics'!$C$3:$BJ$51,49,FALSE)),$B48,1))&gt;0,P$1/2,0))</f>
        <v>10</v>
      </c>
      <c r="Q48" s="78">
        <f>IFERROR(HLOOKUP(D48,'Commuter Model'!$C$12:$AS$61,50,FALSE),0)*$Q$1</f>
        <v>0</v>
      </c>
      <c r="R48">
        <f t="shared" ca="1" si="0"/>
        <v>25</v>
      </c>
      <c r="S48">
        <f t="shared" ca="1" si="1"/>
        <v>42</v>
      </c>
      <c r="T48">
        <f ca="1">IF(COUNTIF($S$2:S47,S48)&gt;0,COUNTIF($S$2:S47,S48)+S48,S48)</f>
        <v>44</v>
      </c>
      <c r="U48" t="s">
        <v>148</v>
      </c>
    </row>
    <row r="49" spans="1:21">
      <c r="A49">
        <v>39</v>
      </c>
      <c r="B49">
        <v>8</v>
      </c>
      <c r="C49">
        <f t="shared" si="2"/>
        <v>46</v>
      </c>
      <c r="D49" s="1" t="s">
        <v>71</v>
      </c>
      <c r="E49">
        <f ca="1">IF(HLOOKUP('Inputs and Outputs'!$D$6,'Neighborhood Characteristics'!$C$3:$BJ$49,'Neighborhood Matching Prefs'!$C49+1,FALSE)&gt;0,HLOOKUP('Inputs and Outputs'!$D$6,'Neighborhood Characteristics'!$C$3:$BJ$49,'Neighborhood Matching Prefs'!$C49+1,FALSE)*E$1,IF(SUM(OFFSET('Neighborhood Characteristics'!$C$3,$A49,(HLOOKUP('Inputs and Outputs'!$D$6,'Neighborhood Characteristics'!$C$3:$BJ$51,49,FALSE)),$B49,1))&gt;0,E$1/2,0))</f>
        <v>0</v>
      </c>
      <c r="F49">
        <f ca="1">IF(HLOOKUP('Inputs and Outputs'!$D$7,'Neighborhood Characteristics'!$C$3:$BJ$49,'Neighborhood Matching Prefs'!$C49+1,FALSE)&gt;0,HLOOKUP('Inputs and Outputs'!$D$7,'Neighborhood Characteristics'!$C$3:$BJ$49,'Neighborhood Matching Prefs'!$C49+1,FALSE)*F$1,IF(SUM(OFFSET('Neighborhood Characteristics'!$C$3,$A49,(HLOOKUP('Inputs and Outputs'!$D$7,'Neighborhood Characteristics'!$C$3:$BJ$51,49,FALSE)),$B49,1))&gt;0,F$1/2,0))</f>
        <v>7.5</v>
      </c>
      <c r="G49">
        <f ca="1">IF(HLOOKUP('Inputs and Outputs'!$D$8,'Neighborhood Characteristics'!$C$3:$BJ$49,'Neighborhood Matching Prefs'!$C49+1,FALSE)&gt;0,HLOOKUP('Inputs and Outputs'!$D$8,'Neighborhood Characteristics'!$C$3:$BJ$49,'Neighborhood Matching Prefs'!$C49+1,FALSE)*G$1,IF(SUM(OFFSET('Neighborhood Characteristics'!$C$3,$A49,(HLOOKUP('Inputs and Outputs'!$D$8,'Neighborhood Characteristics'!$C$3:$BJ$51,49,FALSE)),$B49,1))&gt;0,G$1/2,0))</f>
        <v>0</v>
      </c>
      <c r="H49">
        <f ca="1">IF(HLOOKUP('Inputs and Outputs'!$D$9,'Neighborhood Characteristics'!$C$3:$BJ$49,'Neighborhood Matching Prefs'!$C49+1,FALSE)&gt;0,HLOOKUP('Inputs and Outputs'!$D$9,'Neighborhood Characteristics'!$C$3:$BJ$49,'Neighborhood Matching Prefs'!$C49+1,FALSE)*H$1,IF(SUM(OFFSET('Neighborhood Characteristics'!$C$3,$A49,(HLOOKUP('Inputs and Outputs'!$D$9,'Neighborhood Characteristics'!$C$3:$BJ$51,49,FALSE)),$B49,1))&gt;0,H$1/2,0))</f>
        <v>0</v>
      </c>
      <c r="I49">
        <f ca="1">IF(HLOOKUP('Inputs and Outputs'!$D$10,'Neighborhood Characteristics'!$C$3:$BJ$49,'Neighborhood Matching Prefs'!$C49+1,FALSE)&gt;0,HLOOKUP('Inputs and Outputs'!$D$10,'Neighborhood Characteristics'!$C$3:$BJ$49,'Neighborhood Matching Prefs'!$C49+1,FALSE)*I$1,IF(SUM(OFFSET('Neighborhood Characteristics'!$C$3,$A49,(HLOOKUP('Inputs and Outputs'!$D$10,'Neighborhood Characteristics'!$C$3:$BJ$51,49,FALSE)),$B49,1))&gt;0,I$1/2,0))</f>
        <v>0</v>
      </c>
      <c r="J49">
        <f ca="1">IF(HLOOKUP('Inputs and Outputs'!$D$11,'Neighborhood Characteristics'!$C$3:$BJ$49,'Neighborhood Matching Prefs'!$C49+1,FALSE)&gt;0,HLOOKUP('Inputs and Outputs'!$D$11,'Neighborhood Characteristics'!$C$3:$BJ$49,'Neighborhood Matching Prefs'!$C49+1,FALSE)*J$1,IF(SUM(OFFSET('Neighborhood Characteristics'!$C$3,$A49,(HLOOKUP('Inputs and Outputs'!$D$11,'Neighborhood Characteristics'!$C$3:$BJ$51,49,FALSE)),$B49,1))&gt;0,J$1/2,0))</f>
        <v>7.5</v>
      </c>
      <c r="K49">
        <f ca="1">IF(HLOOKUP('Inputs and Outputs'!$D$12,'Neighborhood Characteristics'!$C$3:$BJ$49,'Neighborhood Matching Prefs'!$C49+1,FALSE)&gt;0,HLOOKUP('Inputs and Outputs'!$D$12,'Neighborhood Characteristics'!$C$3:$BJ$49,'Neighborhood Matching Prefs'!$C49+1,FALSE)*K$1,IF(SUM(OFFSET('Neighborhood Characteristics'!$C$3,$A49,(HLOOKUP('Inputs and Outputs'!$D$12,'Neighborhood Characteristics'!$C$3:$BJ$51,49,FALSE)),$B49,1))&gt;0,K$1/2,0))</f>
        <v>0</v>
      </c>
      <c r="L49">
        <f ca="1">IF(HLOOKUP('Inputs and Outputs'!$D$13,'Neighborhood Characteristics'!$C$3:$BJ$49,'Neighborhood Matching Prefs'!$C49+1,FALSE)&gt;0,HLOOKUP('Inputs and Outputs'!$D$13,'Neighborhood Characteristics'!$C$3:$BJ$49,'Neighborhood Matching Prefs'!$C49+1,FALSE)*L$1,IF(SUM(OFFSET('Neighborhood Characteristics'!$C$3,$A49,(HLOOKUP('Inputs and Outputs'!$D$13,'Neighborhood Characteristics'!$C$3:$BJ$51,49,FALSE)),$B49,1))&gt;0,L$1/2,0))</f>
        <v>0</v>
      </c>
      <c r="M49">
        <f ca="1">IF(HLOOKUP('Inputs and Outputs'!$D$14,'Neighborhood Characteristics'!$C$3:$BJ$49,'Neighborhood Matching Prefs'!$C49+1,FALSE)&gt;0,HLOOKUP('Inputs and Outputs'!$D$14,'Neighborhood Characteristics'!$C$3:$BJ$49,'Neighborhood Matching Prefs'!$C49+1,FALSE)*M$1,IF(SUM(OFFSET('Neighborhood Characteristics'!$C$3,$A49,(HLOOKUP('Inputs and Outputs'!$D$14,'Neighborhood Characteristics'!$C$3:$BJ$51,49,FALSE)),$B49,1))&gt;0,M$1/2,0))</f>
        <v>0</v>
      </c>
      <c r="N49">
        <f ca="1">IF(HLOOKUP('Inputs and Outputs'!$D$15,'Neighborhood Characteristics'!$C$3:$BJ$49,'Neighborhood Matching Prefs'!$C49+1,FALSE)&gt;0,HLOOKUP('Inputs and Outputs'!$D$15,'Neighborhood Characteristics'!$C$3:$BJ$49,'Neighborhood Matching Prefs'!$C49+1,FALSE)*N$1,IF(SUM(OFFSET('Neighborhood Characteristics'!$C$3,$A49,(HLOOKUP('Inputs and Outputs'!$D$15,'Neighborhood Characteristics'!$C$3:$BJ$51,49,FALSE)),$B49,1))&gt;0,N$1/2,0))</f>
        <v>0</v>
      </c>
      <c r="O49">
        <f ca="1">IF(HLOOKUP('Inputs and Outputs'!$D$16,'Neighborhood Characteristics'!$C$3:$BJ$49,'Neighborhood Matching Prefs'!$C49+1,FALSE)&gt;0,HLOOKUP('Inputs and Outputs'!$D$16,'Neighborhood Characteristics'!$C$3:$BJ$49,'Neighborhood Matching Prefs'!$C49+1,FALSE)*O$1,IF(SUM(OFFSET('Neighborhood Characteristics'!$C$3,$A49,(HLOOKUP('Inputs and Outputs'!$D$16,'Neighborhood Characteristics'!$C$3:$BJ$51,49,FALSE)),$B49,1))&gt;0,O$1/2,0))</f>
        <v>0</v>
      </c>
      <c r="P49">
        <f ca="1">IF(HLOOKUP('Inputs and Outputs'!$D$17,'Neighborhood Characteristics'!$C$3:$BJ$49,'Neighborhood Matching Prefs'!$C49+1,FALSE)&gt;0,HLOOKUP('Inputs and Outputs'!$D$17,'Neighborhood Characteristics'!$C$3:$BJ$49,'Neighborhood Matching Prefs'!$C49+1,FALSE)*P$1,IF(SUM(OFFSET('Neighborhood Characteristics'!$C$3,$A49,(HLOOKUP('Inputs and Outputs'!$D$17,'Neighborhood Characteristics'!$C$3:$BJ$51,49,FALSE)),$B49,1))&gt;0,P$1/2,0))</f>
        <v>10</v>
      </c>
      <c r="Q49" s="78">
        <f>IFERROR(HLOOKUP(D49,'Commuter Model'!$C$12:$AS$61,50,FALSE),0)*$Q$1</f>
        <v>0</v>
      </c>
      <c r="R49">
        <f t="shared" ca="1" si="0"/>
        <v>25</v>
      </c>
      <c r="S49">
        <f t="shared" ca="1" si="1"/>
        <v>42</v>
      </c>
      <c r="T49">
        <f ca="1">IF(COUNTIF($S$2:S48,S49)&gt;0,COUNTIF($S$2:S48,S49)+S49,S49)</f>
        <v>45</v>
      </c>
      <c r="U49" t="s">
        <v>71</v>
      </c>
    </row>
    <row r="54" spans="1:21">
      <c r="D54" t="s">
        <v>48</v>
      </c>
    </row>
    <row r="55" spans="1:21">
      <c r="D55" t="s">
        <v>49</v>
      </c>
      <c r="E55">
        <v>1</v>
      </c>
    </row>
    <row r="56" spans="1:21">
      <c r="D56" t="s">
        <v>50</v>
      </c>
      <c r="E56">
        <v>0.5</v>
      </c>
    </row>
    <row r="57" spans="1:21">
      <c r="D57" t="s">
        <v>51</v>
      </c>
      <c r="E57">
        <v>0.25</v>
      </c>
    </row>
  </sheetData>
  <mergeCells count="1">
    <mergeCell ref="E2:Q2"/>
  </mergeCells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5"/>
  <sheetViews>
    <sheetView workbookViewId="0">
      <selection activeCell="B6" sqref="B6"/>
    </sheetView>
  </sheetViews>
  <sheetFormatPr baseColWidth="10" defaultColWidth="8.875" defaultRowHeight="15"/>
  <cols>
    <col min="1" max="1" width="1.75" customWidth="1"/>
  </cols>
  <sheetData>
    <row r="1" spans="1:2">
      <c r="A1" t="s">
        <v>236</v>
      </c>
    </row>
    <row r="2" spans="1:2">
      <c r="B2" t="s">
        <v>235</v>
      </c>
    </row>
    <row r="3" spans="1:2">
      <c r="B3" t="s">
        <v>74</v>
      </c>
    </row>
    <row r="4" spans="1:2">
      <c r="B4" t="s">
        <v>75</v>
      </c>
    </row>
    <row r="5" spans="1:2">
      <c r="B5" t="s">
        <v>76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Inputs and Outputs</vt:lpstr>
      <vt:lpstr>Financial Worksheet</vt:lpstr>
      <vt:lpstr>Apartment Scores</vt:lpstr>
      <vt:lpstr>Apartment Listings</vt:lpstr>
      <vt:lpstr>Preference Scores</vt:lpstr>
      <vt:lpstr>Neighborhood Characteristics</vt:lpstr>
      <vt:lpstr>Commuter Model</vt:lpstr>
      <vt:lpstr>Neighborhood Matching Prefs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Moen</dc:creator>
  <cp:lastModifiedBy>Erica Rotstein</cp:lastModifiedBy>
  <dcterms:created xsi:type="dcterms:W3CDTF">2011-04-06T19:17:20Z</dcterms:created>
  <dcterms:modified xsi:type="dcterms:W3CDTF">2011-05-07T15:49:20Z</dcterms:modified>
</cp:coreProperties>
</file>