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75" windowWidth="15315" windowHeight="7455"/>
  </bookViews>
  <sheets>
    <sheet name="Model" sheetId="5" r:id="rId1"/>
    <sheet name="Summary" sheetId="1" r:id="rId2"/>
    <sheet name="Restaurants" sheetId="2" r:id="rId3"/>
    <sheet name="costs" sheetId="3" r:id="rId4"/>
    <sheet name="Starting Points" sheetId="9" r:id="rId5"/>
    <sheet name="Time-Distance" sheetId="11" r:id="rId6"/>
    <sheet name="Time-Distance-Raw" sheetId="4" r:id="rId7"/>
    <sheet name="SolverTableSheet" sheetId="6" state="veryHidden" r:id="rId8"/>
  </sheets>
  <definedNames>
    <definedName name="solver_adj" localSheetId="0" hidden="1">Model!$AJ$3:$AJ$13,Model!$AJ$17:$AJ$27,Model!$AJ$31:$AJ$41,Model!$AJ$45:$AJ$55,Model!$AJ$59:$AJ$69,Model!$AJ$73:$AJ$83</definedName>
    <definedName name="solver_adj_ob" localSheetId="0" hidden="1">1</definedName>
    <definedName name="solver_cha" localSheetId="0" hidden="1">0</definedName>
    <definedName name="solver_chc1" localSheetId="0" hidden="1">0</definedName>
    <definedName name="solver_chc10" localSheetId="0" hidden="1">0</definedName>
    <definedName name="solver_chc11" localSheetId="0" hidden="1">0</definedName>
    <definedName name="solver_chc12" localSheetId="0" hidden="1">0</definedName>
    <definedName name="solver_chc13" localSheetId="0" hidden="1">0</definedName>
    <definedName name="solver_chc14" localSheetId="0" hidden="1">0</definedName>
    <definedName name="solver_chc15" localSheetId="0" hidden="1">0</definedName>
    <definedName name="solver_chc16" localSheetId="0" hidden="1">0</definedName>
    <definedName name="solver_chc17" localSheetId="0" hidden="1">0</definedName>
    <definedName name="solver_chc18" localSheetId="0" hidden="1">0</definedName>
    <definedName name="solver_chc19" localSheetId="0" hidden="1">0</definedName>
    <definedName name="solver_chc2" localSheetId="0" hidden="1">0</definedName>
    <definedName name="solver_chc20" localSheetId="0" hidden="1">0</definedName>
    <definedName name="solver_chc3" localSheetId="0" hidden="1">0</definedName>
    <definedName name="solver_chc4" localSheetId="0" hidden="1">0</definedName>
    <definedName name="solver_chc5" localSheetId="0" hidden="1">0</definedName>
    <definedName name="solver_chc6" localSheetId="0" hidden="1">0</definedName>
    <definedName name="solver_chc7" localSheetId="0" hidden="1">0</definedName>
    <definedName name="solver_chc8" localSheetId="0" hidden="1">0</definedName>
    <definedName name="solver_chc9" localSheetId="0" hidden="1">0</definedName>
    <definedName name="solver_chn" localSheetId="0" hidden="1">4</definedName>
    <definedName name="solver_chp1" localSheetId="0" hidden="1">0</definedName>
    <definedName name="solver_chp10" localSheetId="0" hidden="1">0</definedName>
    <definedName name="solver_chp11" localSheetId="0" hidden="1">0</definedName>
    <definedName name="solver_chp12" localSheetId="0" hidden="1">0</definedName>
    <definedName name="solver_chp13" localSheetId="0" hidden="1">0</definedName>
    <definedName name="solver_chp14" localSheetId="0" hidden="1">0</definedName>
    <definedName name="solver_chp15" localSheetId="0" hidden="1">0</definedName>
    <definedName name="solver_chp16" localSheetId="0" hidden="1">0</definedName>
    <definedName name="solver_chp17" localSheetId="0" hidden="1">0</definedName>
    <definedName name="solver_chp18" localSheetId="0" hidden="1">0</definedName>
    <definedName name="solver_chp19" localSheetId="0" hidden="1">0</definedName>
    <definedName name="solver_chp2" localSheetId="0" hidden="1">0</definedName>
    <definedName name="solver_chp20" localSheetId="0" hidden="1">0</definedName>
    <definedName name="solver_chp3" localSheetId="0" hidden="1">0</definedName>
    <definedName name="solver_chp4" localSheetId="0" hidden="1">0</definedName>
    <definedName name="solver_chp5" localSheetId="0" hidden="1">0</definedName>
    <definedName name="solver_chp6" localSheetId="0" hidden="1">0</definedName>
    <definedName name="solver_chp7" localSheetId="0" hidden="1">0</definedName>
    <definedName name="solver_chp8" localSheetId="0" hidden="1">0</definedName>
    <definedName name="solver_chp9" localSheetId="0" hidden="1">0</definedName>
    <definedName name="solver_cht" localSheetId="0" hidden="1">0</definedName>
    <definedName name="solver_cir1" localSheetId="0" hidden="1">1</definedName>
    <definedName name="solver_cir10" localSheetId="0" hidden="1">1</definedName>
    <definedName name="solver_cir11" localSheetId="0" hidden="1">1</definedName>
    <definedName name="solver_cir12" localSheetId="0" hidden="1">1</definedName>
    <definedName name="solver_cir13" localSheetId="0" hidden="1">1</definedName>
    <definedName name="solver_cir14" localSheetId="0" hidden="1">1</definedName>
    <definedName name="solver_cir15" localSheetId="0" hidden="1">1</definedName>
    <definedName name="solver_cir16" localSheetId="0" hidden="1">1</definedName>
    <definedName name="solver_cir17" localSheetId="0" hidden="1">1</definedName>
    <definedName name="solver_cir18" localSheetId="0" hidden="1">1</definedName>
    <definedName name="solver_cir19" localSheetId="0" hidden="1">1</definedName>
    <definedName name="solver_cir2" localSheetId="0" hidden="1">1</definedName>
    <definedName name="solver_cir20" localSheetId="0" hidden="1">1</definedName>
    <definedName name="solver_cir3" localSheetId="0" hidden="1">1</definedName>
    <definedName name="solver_cir4" localSheetId="0" hidden="1">1</definedName>
    <definedName name="solver_cir5" localSheetId="0" hidden="1">1</definedName>
    <definedName name="solver_cir6" localSheetId="0" hidden="1">1</definedName>
    <definedName name="solver_cir7" localSheetId="0" hidden="1">1</definedName>
    <definedName name="solver_cir8" localSheetId="0" hidden="1">1</definedName>
    <definedName name="solver_cir9" localSheetId="0" hidden="1">1</definedName>
    <definedName name="solver_con" localSheetId="0" hidden="1">" "</definedName>
    <definedName name="solver_con1" localSheetId="0" hidden="1">" "</definedName>
    <definedName name="solver_con10" localSheetId="0" hidden="1">" "</definedName>
    <definedName name="solver_con11" localSheetId="0" hidden="1">" "</definedName>
    <definedName name="solver_con12" localSheetId="0" hidden="1">" "</definedName>
    <definedName name="solver_con13" localSheetId="0" hidden="1">" "</definedName>
    <definedName name="solver_con14" localSheetId="0" hidden="1">" "</definedName>
    <definedName name="solver_con15" localSheetId="0" hidden="1">" "</definedName>
    <definedName name="solver_con16" localSheetId="0" hidden="1">" "</definedName>
    <definedName name="solver_con17" localSheetId="0" hidden="1">" "</definedName>
    <definedName name="solver_con18" localSheetId="0" hidden="1">" "</definedName>
    <definedName name="solver_con19" localSheetId="0" hidden="1">" "</definedName>
    <definedName name="solver_con2" localSheetId="0" hidden="1">" "</definedName>
    <definedName name="solver_con20" localSheetId="0" hidden="1">" "</definedName>
    <definedName name="solver_con3" localSheetId="0" hidden="1">" "</definedName>
    <definedName name="solver_con4" localSheetId="0" hidden="1">" "</definedName>
    <definedName name="solver_con5" localSheetId="0" hidden="1">" "</definedName>
    <definedName name="solver_con6" localSheetId="0" hidden="1">" "</definedName>
    <definedName name="solver_con7" localSheetId="0" hidden="1">" "</definedName>
    <definedName name="solver_con8" localSheetId="0" hidden="1">" "</definedName>
    <definedName name="solver_con9" localSheetId="0" hidden="1">" "</definedName>
    <definedName name="solver_cvg" localSheetId="0" hidden="1">0.0001</definedName>
    <definedName name="solver_dia" localSheetId="0" hidden="1">5</definedName>
    <definedName name="solver_drv" localSheetId="0" hidden="1">1</definedName>
    <definedName name="solver_eng" localSheetId="0" hidden="1">3</definedName>
    <definedName name="solver_est" localSheetId="0" hidden="1">1</definedName>
    <definedName name="solver_fns" localSheetId="0" hidden="1">0</definedName>
    <definedName name="solver_glb" localSheetId="0" hidden="1">-1E+30</definedName>
    <definedName name="solver_gub" localSheetId="0" hidden="1">1E+30</definedName>
    <definedName name="solver_iao" localSheetId="0" hidden="1">0</definedName>
    <definedName name="solver_inc" localSheetId="0" hidden="1">0</definedName>
    <definedName name="solver_int" localSheetId="0" hidden="1">1</definedName>
    <definedName name="solver_irs" localSheetId="0" hidden="1">0</definedName>
    <definedName name="solver_ism" localSheetId="0" hidden="1">0</definedName>
    <definedName name="solver_itr" localSheetId="0" hidden="1">100</definedName>
    <definedName name="solver_lhs_ob1" localSheetId="0" hidden="1">0</definedName>
    <definedName name="solver_lhs_ob10" localSheetId="0" hidden="1">0</definedName>
    <definedName name="solver_lhs_ob11" localSheetId="0" hidden="1">0</definedName>
    <definedName name="solver_lhs_ob12" localSheetId="0" hidden="1">0</definedName>
    <definedName name="solver_lhs_ob13" localSheetId="0" hidden="1">0</definedName>
    <definedName name="solver_lhs_ob14" localSheetId="0" hidden="1">0</definedName>
    <definedName name="solver_lhs_ob15" localSheetId="0" hidden="1">0</definedName>
    <definedName name="solver_lhs_ob16" localSheetId="0" hidden="1">0</definedName>
    <definedName name="solver_lhs_ob17" localSheetId="0" hidden="1">0</definedName>
    <definedName name="solver_lhs_ob18" localSheetId="0" hidden="1">0</definedName>
    <definedName name="solver_lhs_ob19" localSheetId="0" hidden="1">0</definedName>
    <definedName name="solver_lhs_ob2" localSheetId="0" hidden="1">0</definedName>
    <definedName name="solver_lhs_ob20" localSheetId="0" hidden="1">0</definedName>
    <definedName name="solver_lhs_ob3" localSheetId="0" hidden="1">0</definedName>
    <definedName name="solver_lhs_ob4" localSheetId="0" hidden="1">0</definedName>
    <definedName name="solver_lhs_ob5" localSheetId="0" hidden="1">0</definedName>
    <definedName name="solver_lhs_ob6" localSheetId="0" hidden="1">0</definedName>
    <definedName name="solver_lhs_ob7" localSheetId="0" hidden="1">0</definedName>
    <definedName name="solver_lhs_ob8" localSheetId="0" hidden="1">0</definedName>
    <definedName name="solver_lhs_ob9" localSheetId="0" hidden="1">0</definedName>
    <definedName name="solver_lhs1" localSheetId="0" hidden="1">Model!$AD$14</definedName>
    <definedName name="solver_lhs10" localSheetId="0" hidden="1">Model!$AJ$3:$AJ$13</definedName>
    <definedName name="solver_lhs11" localSheetId="0" hidden="1">Model!$AJ$42</definedName>
    <definedName name="solver_lhs12" localSheetId="0" hidden="1">Model!$AJ$45:$AJ$55</definedName>
    <definedName name="solver_lhs13" localSheetId="0" hidden="1">Model!$AJ$45:$AJ$55</definedName>
    <definedName name="solver_lhs14" localSheetId="0" hidden="1">Model!$AJ$56</definedName>
    <definedName name="solver_lhs15" localSheetId="0" hidden="1">Model!$AJ$59:$AJ$69</definedName>
    <definedName name="solver_lhs16" localSheetId="0" hidden="1">Model!$AJ$59:$AJ$69</definedName>
    <definedName name="solver_lhs17" localSheetId="0" hidden="1">Model!$AJ$70</definedName>
    <definedName name="solver_lhs18" localSheetId="0" hidden="1">Model!$AJ$73:$AJ$83</definedName>
    <definedName name="solver_lhs19" localSheetId="0" hidden="1">Model!$AJ$73:$AJ$83</definedName>
    <definedName name="solver_lhs2" localSheetId="0" hidden="1">Model!$AD$3:$AD$13</definedName>
    <definedName name="solver_lhs20" localSheetId="0" hidden="1">Model!$AJ$84</definedName>
    <definedName name="solver_lhs3" localSheetId="0" hidden="1">Model!$AJ$14</definedName>
    <definedName name="solver_lhs4" localSheetId="0" hidden="1">Model!$AJ$17:$AJ$27</definedName>
    <definedName name="solver_lhs5" localSheetId="0" hidden="1">Model!$AJ$17:$AJ$27</definedName>
    <definedName name="solver_lhs6" localSheetId="0" hidden="1">Model!$AJ$28</definedName>
    <definedName name="solver_lhs7" localSheetId="0" hidden="1">Model!$AJ$31:$AJ$41</definedName>
    <definedName name="solver_lhs8" localSheetId="0" hidden="1">Model!$AJ$31:$AJ$41</definedName>
    <definedName name="solver_lhs9" localSheetId="0" hidden="1">Model!$AJ$3:$AJ$13</definedName>
    <definedName name="solver_lin" localSheetId="0" hidden="1">2</definedName>
    <definedName name="solver_loc" localSheetId="0" hidden="1">4</definedName>
    <definedName name="solver_log" localSheetId="0" hidden="1">1</definedName>
    <definedName name="solver_lva" localSheetId="0" hidden="1">0</definedName>
    <definedName name="solver_mda" localSheetId="0" hidden="1">4</definedName>
    <definedName name="solver_mip" localSheetId="0" hidden="1">2147483647</definedName>
    <definedName name="solver_mni" localSheetId="0" hidden="1">30</definedName>
    <definedName name="solver_mod" localSheetId="0" hidden="1">3</definedName>
    <definedName name="solver_mrt" localSheetId="0" hidden="1">0.075</definedName>
    <definedName name="solver_msl" localSheetId="0" hidden="1">0</definedName>
    <definedName name="solver_neg" localSheetId="0" hidden="1">0</definedName>
    <definedName name="solver_nod" localSheetId="0" hidden="1">2147483647</definedName>
    <definedName name="solver_ntr" localSheetId="0" hidden="1">0</definedName>
    <definedName name="solver_ntri" hidden="1">1000</definedName>
    <definedName name="solver_num" localSheetId="0" hidden="1">20</definedName>
    <definedName name="solver_nwt" localSheetId="0" hidden="1">1</definedName>
    <definedName name="solver_obc" localSheetId="0" hidden="1">0</definedName>
    <definedName name="solver_obp" localSheetId="0" hidden="1">0</definedName>
    <definedName name="solver_opt" localSheetId="0" hidden="1">Model!$K$20</definedName>
    <definedName name="solver_opt_ob" localSheetId="0" hidden="1">1</definedName>
    <definedName name="solver_pre" localSheetId="0" hidden="1">0.000001</definedName>
    <definedName name="solver_psi" localSheetId="0" hidden="1">0</definedName>
    <definedName name="solver_rbv" localSheetId="0" hidden="1">1</definedName>
    <definedName name="solver_rdp" localSheetId="0" hidden="1">0</definedName>
    <definedName name="solver_rel1" localSheetId="0" hidden="1">2</definedName>
    <definedName name="solver_rel10" localSheetId="0" hidden="1">5</definedName>
    <definedName name="solver_rel11" localSheetId="0" hidden="1">2</definedName>
    <definedName name="solver_rel12" localSheetId="0" hidden="1">1</definedName>
    <definedName name="solver_rel13" localSheetId="0" hidden="1">5</definedName>
    <definedName name="solver_rel14" localSheetId="0" hidden="1">2</definedName>
    <definedName name="solver_rel15" localSheetId="0" hidden="1">1</definedName>
    <definedName name="solver_rel16" localSheetId="0" hidden="1">5</definedName>
    <definedName name="solver_rel17" localSheetId="0" hidden="1">2</definedName>
    <definedName name="solver_rel18" localSheetId="0" hidden="1">1</definedName>
    <definedName name="solver_rel19" localSheetId="0" hidden="1">5</definedName>
    <definedName name="solver_rel2" localSheetId="0" hidden="1">1</definedName>
    <definedName name="solver_rel20" localSheetId="0" hidden="1">2</definedName>
    <definedName name="solver_rel3" localSheetId="0" hidden="1">2</definedName>
    <definedName name="solver_rel4" localSheetId="0" hidden="1">1</definedName>
    <definedName name="solver_rel5" localSheetId="0" hidden="1">5</definedName>
    <definedName name="solver_rel6" localSheetId="0" hidden="1">2</definedName>
    <definedName name="solver_rel7" localSheetId="0" hidden="1">1</definedName>
    <definedName name="solver_rel8" localSheetId="0" hidden="1">5</definedName>
    <definedName name="solver_rel9" localSheetId="0" hidden="1">1</definedName>
    <definedName name="solver_rep" localSheetId="0" hidden="1">0</definedName>
    <definedName name="solver_rhs1" localSheetId="0" hidden="1">Model!$AF$14</definedName>
    <definedName name="solver_rhs10" localSheetId="0" hidden="1">Model!$AL$31:$AL$41</definedName>
    <definedName name="solver_rhs11" localSheetId="0" hidden="1">Model!$AL$42</definedName>
    <definedName name="solver_rhs12" localSheetId="0" hidden="1">Model!$AL$45:$AL$55</definedName>
    <definedName name="solver_rhs13" localSheetId="0" hidden="1">Model!$AL$73:$AL$83</definedName>
    <definedName name="solver_rhs14" localSheetId="0" hidden="1">Model!$AL$56</definedName>
    <definedName name="solver_rhs15" localSheetId="0" hidden="1">Model!$AL$59:$AL$69</definedName>
    <definedName name="solver_rhs16" localSheetId="0" hidden="1">Model!$AL$56</definedName>
    <definedName name="solver_rhs17" localSheetId="0" hidden="1">Model!$AL$70</definedName>
    <definedName name="solver_rhs18" localSheetId="0" hidden="1">Model!$AL$73:$AL$83</definedName>
    <definedName name="solver_rhs19" localSheetId="0" hidden="1">Model!$AF$3:$AF$13</definedName>
    <definedName name="solver_rhs2" localSheetId="0" hidden="1">Model!$AF$3:$AF$13</definedName>
    <definedName name="solver_rhs20" localSheetId="0" hidden="1">Model!$AL$84</definedName>
    <definedName name="solver_rhs3" localSheetId="0" hidden="1">Model!$AL$14</definedName>
    <definedName name="solver_rhs4" localSheetId="0" hidden="1">Model!$AL$17:$AL$27</definedName>
    <definedName name="solver_rhs5" localSheetId="0" hidden="1">binary</definedName>
    <definedName name="solver_rhs6" localSheetId="0" hidden="1">Model!$AL$28</definedName>
    <definedName name="solver_rhs7" localSheetId="0" hidden="1">Model!$AL$31:$AL$41</definedName>
    <definedName name="solver_rhs8" localSheetId="0" hidden="1">Model!$AL$14</definedName>
    <definedName name="solver_rhs9" localSheetId="0" hidden="1">Model!$AL$3:$AL$13</definedName>
    <definedName name="solver_rlx" localSheetId="0" hidden="1">0</definedName>
    <definedName name="solver_rsmp" hidden="1">2</definedName>
    <definedName name="solver_rtr" localSheetId="0" hidden="1">0</definedName>
    <definedName name="solver_rxc1" localSheetId="0" hidden="1">1</definedName>
    <definedName name="solver_rxc10" localSheetId="0" hidden="1">1</definedName>
    <definedName name="solver_rxc11" localSheetId="0" hidden="1">1</definedName>
    <definedName name="solver_rxc12" localSheetId="0" hidden="1">1</definedName>
    <definedName name="solver_rxc13" localSheetId="0" hidden="1">1</definedName>
    <definedName name="solver_rxc14" localSheetId="0" hidden="1">1</definedName>
    <definedName name="solver_rxc15" localSheetId="0" hidden="1">1</definedName>
    <definedName name="solver_rxc16" localSheetId="0" hidden="1">1</definedName>
    <definedName name="solver_rxc17" localSheetId="0" hidden="1">1</definedName>
    <definedName name="solver_rxc18" localSheetId="0" hidden="1">1</definedName>
    <definedName name="solver_rxc19" localSheetId="0" hidden="1">1</definedName>
    <definedName name="solver_rxc2" localSheetId="0" hidden="1">1</definedName>
    <definedName name="solver_rxc20" localSheetId="0" hidden="1">1</definedName>
    <definedName name="solver_rxc3" localSheetId="0" hidden="1">1</definedName>
    <definedName name="solver_rxc4" localSheetId="0" hidden="1">1</definedName>
    <definedName name="solver_rxc5" localSheetId="0" hidden="1">1</definedName>
    <definedName name="solver_rxc6" localSheetId="0" hidden="1">1</definedName>
    <definedName name="solver_rxc7" localSheetId="0" hidden="1">1</definedName>
    <definedName name="solver_rxc8" localSheetId="0" hidden="1">1</definedName>
    <definedName name="solver_rxc9" localSheetId="0" hidden="1">1</definedName>
    <definedName name="solver_rxv" localSheetId="0" hidden="1">1</definedName>
    <definedName name="solver_scl" localSheetId="0" hidden="1">0</definedName>
    <definedName name="solver_seed" hidden="1">0</definedName>
    <definedName name="solver_sel" localSheetId="0" hidden="1">1</definedName>
    <definedName name="solver_sho" localSheetId="0" hidden="1">0</definedName>
    <definedName name="solver_slv" localSheetId="0" hidden="1">0</definedName>
    <definedName name="solver_slvu" localSheetId="0" hidden="1">0</definedName>
    <definedName name="solver_ssz" localSheetId="0" hidden="1">0</definedName>
    <definedName name="solver_tim" localSheetId="0" hidden="1">100</definedName>
    <definedName name="solver_tms" localSheetId="0" hidden="1">0</definedName>
    <definedName name="solver_tol" localSheetId="0" hidden="1">0.05</definedName>
    <definedName name="solver_typ" localSheetId="0" hidden="1">1</definedName>
    <definedName name="solver_ubigm" localSheetId="0" hidden="1">1000000</definedName>
    <definedName name="solver_umod" localSheetId="0" hidden="1">1</definedName>
    <definedName name="solver_urs" localSheetId="0" hidden="1">0</definedName>
    <definedName name="solver_val" localSheetId="0" hidden="1">0</definedName>
    <definedName name="solver_var" localSheetId="0" hidden="1">" "</definedName>
    <definedName name="solver_ver" localSheetId="0" hidden="1">10</definedName>
    <definedName name="solver_vir" localSheetId="0" hidden="1">1</definedName>
    <definedName name="solver_vol" localSheetId="0" hidden="1">0</definedName>
    <definedName name="solver_vst" localSheetId="0" hidden="1">0</definedName>
  </definedNames>
  <calcPr calcId="125725"/>
</workbook>
</file>

<file path=xl/calcChain.xml><?xml version="1.0" encoding="utf-8"?>
<calcChain xmlns="http://schemas.openxmlformats.org/spreadsheetml/2006/main">
  <c r="AH3" i="5"/>
  <c r="AH4"/>
  <c r="AH5"/>
  <c r="AH6"/>
  <c r="AH7"/>
  <c r="AH8"/>
  <c r="AH9"/>
  <c r="AH10"/>
  <c r="AH11"/>
  <c r="AH12"/>
  <c r="AH13"/>
  <c r="AO6"/>
  <c r="F8" s="1"/>
  <c r="AH17"/>
  <c r="AP6" s="1"/>
  <c r="AO7" s="1"/>
  <c r="AH18"/>
  <c r="AH19"/>
  <c r="AH20"/>
  <c r="AH21"/>
  <c r="AH22"/>
  <c r="AH23"/>
  <c r="AH24"/>
  <c r="AH25"/>
  <c r="AH26"/>
  <c r="AH27"/>
  <c r="AD23"/>
  <c r="AD16"/>
  <c r="AH31"/>
  <c r="AP7" s="1"/>
  <c r="AO8" s="1"/>
  <c r="AH32"/>
  <c r="AH33"/>
  <c r="AH34"/>
  <c r="AH35"/>
  <c r="AH36"/>
  <c r="AH37"/>
  <c r="AH38"/>
  <c r="AH39"/>
  <c r="AH40"/>
  <c r="AH41"/>
  <c r="AH45"/>
  <c r="AH46"/>
  <c r="AH47"/>
  <c r="AH48"/>
  <c r="AH49"/>
  <c r="AH50"/>
  <c r="AH51"/>
  <c r="AH52"/>
  <c r="AH53"/>
  <c r="AH54"/>
  <c r="AH55"/>
  <c r="AP8"/>
  <c r="AO9" s="1"/>
  <c r="AH73"/>
  <c r="AH74"/>
  <c r="AH75"/>
  <c r="AH76"/>
  <c r="AH77"/>
  <c r="AH78"/>
  <c r="AH79"/>
  <c r="AH80"/>
  <c r="AH81"/>
  <c r="AH82"/>
  <c r="AH83"/>
  <c r="AP10"/>
  <c r="AO11" s="1"/>
  <c r="AD26"/>
  <c r="AP4" s="1"/>
  <c r="F14" s="1"/>
  <c r="AH59"/>
  <c r="AP9" s="1"/>
  <c r="AO10" s="1"/>
  <c r="AH60"/>
  <c r="AH61"/>
  <c r="AH62"/>
  <c r="AH63"/>
  <c r="AH64"/>
  <c r="AH65"/>
  <c r="AH66"/>
  <c r="AH67"/>
  <c r="AH68"/>
  <c r="AH69"/>
  <c r="AP3"/>
  <c r="AD25"/>
  <c r="AO3"/>
  <c r="AD17"/>
  <c r="B3" i="1"/>
  <c r="B4"/>
  <c r="B5"/>
  <c r="B6"/>
  <c r="B7"/>
  <c r="B8"/>
  <c r="D12" i="2"/>
  <c r="B4" i="4" s="1"/>
  <c r="D13" i="2"/>
  <c r="B5" i="4"/>
  <c r="E3" s="1"/>
  <c r="D5" i="2"/>
  <c r="AV6" i="5" s="1"/>
  <c r="G8" s="1"/>
  <c r="D7" i="2"/>
  <c r="B7" i="4"/>
  <c r="I3" s="1"/>
  <c r="D6" i="2"/>
  <c r="B8" i="4" s="1"/>
  <c r="D11" i="2"/>
  <c r="B9" i="4"/>
  <c r="M3" s="1"/>
  <c r="D10" i="2"/>
  <c r="B10" i="4" s="1"/>
  <c r="D14" i="2"/>
  <c r="B11" i="4"/>
  <c r="Q3" s="1"/>
  <c r="D9" i="2"/>
  <c r="B12" i="4" s="1"/>
  <c r="D15" i="2"/>
  <c r="B13" i="4"/>
  <c r="U3" s="1"/>
  <c r="D8" i="2"/>
  <c r="B14" i="4" s="1"/>
  <c r="E17"/>
  <c r="I17"/>
  <c r="M17"/>
  <c r="Q17"/>
  <c r="U17"/>
  <c r="B18"/>
  <c r="B19"/>
  <c r="B20"/>
  <c r="B21"/>
  <c r="B22"/>
  <c r="B23"/>
  <c r="B24"/>
  <c r="B25"/>
  <c r="E31"/>
  <c r="I31"/>
  <c r="M31"/>
  <c r="Q31"/>
  <c r="U31"/>
  <c r="B32"/>
  <c r="B33"/>
  <c r="B34"/>
  <c r="B35"/>
  <c r="B36"/>
  <c r="B37"/>
  <c r="B38"/>
  <c r="B39"/>
  <c r="B26"/>
  <c r="B27"/>
  <c r="B28"/>
  <c r="B40"/>
  <c r="B41"/>
  <c r="B42"/>
  <c r="B3" i="9"/>
  <c r="B4"/>
  <c r="B5"/>
  <c r="B6"/>
  <c r="B7"/>
  <c r="B8"/>
  <c r="B9"/>
  <c r="B10"/>
  <c r="D10"/>
  <c r="B16"/>
  <c r="B17"/>
  <c r="B18"/>
  <c r="B19"/>
  <c r="B20"/>
  <c r="B21"/>
  <c r="B22"/>
  <c r="B23"/>
  <c r="B29"/>
  <c r="B30"/>
  <c r="B31"/>
  <c r="B32"/>
  <c r="B33"/>
  <c r="B34"/>
  <c r="B35"/>
  <c r="B36"/>
  <c r="D36"/>
  <c r="D13"/>
  <c r="H3"/>
  <c r="H4"/>
  <c r="H5"/>
  <c r="H6"/>
  <c r="H7"/>
  <c r="H8"/>
  <c r="H9"/>
  <c r="H10"/>
  <c r="C10"/>
  <c r="C36"/>
  <c r="B11"/>
  <c r="B12"/>
  <c r="B24"/>
  <c r="B25"/>
  <c r="B37"/>
  <c r="B38"/>
  <c r="H38" s="1"/>
  <c r="C4"/>
  <c r="C30"/>
  <c r="H16"/>
  <c r="H17"/>
  <c r="H18"/>
  <c r="H19"/>
  <c r="H20"/>
  <c r="H21"/>
  <c r="H22"/>
  <c r="H23"/>
  <c r="H29"/>
  <c r="H30"/>
  <c r="H31"/>
  <c r="H32"/>
  <c r="H33"/>
  <c r="H34"/>
  <c r="H35"/>
  <c r="H36"/>
  <c r="H37"/>
  <c r="G4" i="1"/>
  <c r="G3"/>
  <c r="B9"/>
  <c r="G9"/>
  <c r="B10"/>
  <c r="B11"/>
  <c r="B12"/>
  <c r="B13"/>
  <c r="E4"/>
  <c r="E3"/>
  <c r="C58" i="11"/>
  <c r="C57"/>
  <c r="C59"/>
  <c r="AF4" i="5"/>
  <c r="AF5"/>
  <c r="AF6"/>
  <c r="AF7"/>
  <c r="AF8"/>
  <c r="AF9"/>
  <c r="AF10"/>
  <c r="AF11"/>
  <c r="AF12"/>
  <c r="AF13"/>
  <c r="AF3"/>
  <c r="C6" i="9"/>
  <c r="D38"/>
  <c r="AL14" i="5"/>
  <c r="AM17"/>
  <c r="AM31"/>
  <c r="AM45" s="1"/>
  <c r="AM59" s="1"/>
  <c r="AM73" s="1"/>
  <c r="AJ14"/>
  <c r="AF14"/>
  <c r="AD4"/>
  <c r="AD5"/>
  <c r="AD6"/>
  <c r="AD7"/>
  <c r="AD8"/>
  <c r="AD9"/>
  <c r="AD10"/>
  <c r="AD11"/>
  <c r="AD12"/>
  <c r="AD13"/>
  <c r="AD3"/>
  <c r="AD14" s="1"/>
  <c r="AJ84"/>
  <c r="AJ70"/>
  <c r="AJ56"/>
  <c r="AJ42"/>
  <c r="AI16"/>
  <c r="AL28" s="1"/>
  <c r="AJ28"/>
  <c r="AM18"/>
  <c r="AM32"/>
  <c r="AM46" s="1"/>
  <c r="AM60" s="1"/>
  <c r="AM74" s="1"/>
  <c r="AM19"/>
  <c r="AM33" s="1"/>
  <c r="AM20"/>
  <c r="AM34"/>
  <c r="AM21"/>
  <c r="AM35"/>
  <c r="AM49" s="1"/>
  <c r="AM63" s="1"/>
  <c r="AM77" s="1"/>
  <c r="AM22"/>
  <c r="AM36" s="1"/>
  <c r="AM23"/>
  <c r="AM37" s="1"/>
  <c r="AM24"/>
  <c r="AM38"/>
  <c r="AM52" s="1"/>
  <c r="AM66" s="1"/>
  <c r="AM80" s="1"/>
  <c r="AM25"/>
  <c r="AM39" s="1"/>
  <c r="AM26"/>
  <c r="AM27"/>
  <c r="AM41" s="1"/>
  <c r="E39" i="9"/>
  <c r="E35"/>
  <c r="E31"/>
  <c r="D37"/>
  <c r="D30"/>
  <c r="C37"/>
  <c r="C33"/>
  <c r="E11"/>
  <c r="E7"/>
  <c r="E3"/>
  <c r="D8"/>
  <c r="C9"/>
  <c r="C13"/>
  <c r="F65" i="3"/>
  <c r="F64"/>
  <c r="C54" i="11"/>
  <c r="C53"/>
  <c r="C51" i="3"/>
  <c r="C49" i="11" s="1"/>
  <c r="C52" i="3"/>
  <c r="D23" i="9" s="1"/>
  <c r="P5" i="2"/>
  <c r="H3" i="1"/>
  <c r="P14" i="2"/>
  <c r="H12" i="1"/>
  <c r="V42" i="4"/>
  <c r="U42"/>
  <c r="T42"/>
  <c r="S42"/>
  <c r="T41"/>
  <c r="S41"/>
  <c r="R42"/>
  <c r="Q42"/>
  <c r="R41"/>
  <c r="Q41"/>
  <c r="R40"/>
  <c r="Q40"/>
  <c r="P42"/>
  <c r="O42"/>
  <c r="P41"/>
  <c r="O41"/>
  <c r="P40"/>
  <c r="O40"/>
  <c r="P39"/>
  <c r="O39"/>
  <c r="N42"/>
  <c r="M42"/>
  <c r="N41"/>
  <c r="M41"/>
  <c r="N40"/>
  <c r="M40"/>
  <c r="N39"/>
  <c r="M39"/>
  <c r="N38"/>
  <c r="M38"/>
  <c r="L42"/>
  <c r="K42"/>
  <c r="L41"/>
  <c r="K41"/>
  <c r="L40"/>
  <c r="K40"/>
  <c r="L39"/>
  <c r="K39"/>
  <c r="L38"/>
  <c r="K38"/>
  <c r="L37"/>
  <c r="K37"/>
  <c r="J42"/>
  <c r="I42"/>
  <c r="J41"/>
  <c r="I41"/>
  <c r="J40"/>
  <c r="I40"/>
  <c r="J39"/>
  <c r="I39"/>
  <c r="J38"/>
  <c r="I38"/>
  <c r="J37"/>
  <c r="I37"/>
  <c r="J36"/>
  <c r="I36"/>
  <c r="H42"/>
  <c r="G42"/>
  <c r="H41"/>
  <c r="G41"/>
  <c r="H40"/>
  <c r="G40"/>
  <c r="H39"/>
  <c r="G39"/>
  <c r="H38"/>
  <c r="G38"/>
  <c r="H37"/>
  <c r="G37"/>
  <c r="H36"/>
  <c r="G36"/>
  <c r="H35"/>
  <c r="G35"/>
  <c r="F42"/>
  <c r="E42"/>
  <c r="F41"/>
  <c r="E41"/>
  <c r="F40"/>
  <c r="E40"/>
  <c r="F39"/>
  <c r="E39"/>
  <c r="F38"/>
  <c r="E38"/>
  <c r="F37"/>
  <c r="E37"/>
  <c r="F36"/>
  <c r="E36"/>
  <c r="F35"/>
  <c r="E35"/>
  <c r="F34"/>
  <c r="E34"/>
  <c r="D42"/>
  <c r="C42"/>
  <c r="D41"/>
  <c r="C41"/>
  <c r="D40"/>
  <c r="C40"/>
  <c r="D39"/>
  <c r="C39"/>
  <c r="D38"/>
  <c r="C38"/>
  <c r="D37"/>
  <c r="C37"/>
  <c r="D36"/>
  <c r="C36"/>
  <c r="D35"/>
  <c r="C35"/>
  <c r="D34"/>
  <c r="C34"/>
  <c r="D33"/>
  <c r="C33"/>
  <c r="V28"/>
  <c r="T28"/>
  <c r="T27"/>
  <c r="R28"/>
  <c r="R27"/>
  <c r="R26"/>
  <c r="P28"/>
  <c r="P27"/>
  <c r="P26"/>
  <c r="P25"/>
  <c r="N28"/>
  <c r="N27"/>
  <c r="N26"/>
  <c r="N25"/>
  <c r="N24"/>
  <c r="L28"/>
  <c r="L27"/>
  <c r="L26"/>
  <c r="L25"/>
  <c r="L24"/>
  <c r="L23"/>
  <c r="J28"/>
  <c r="J27"/>
  <c r="J26"/>
  <c r="J25"/>
  <c r="J24"/>
  <c r="J23"/>
  <c r="J22"/>
  <c r="H28"/>
  <c r="H27"/>
  <c r="H26"/>
  <c r="H25"/>
  <c r="H24"/>
  <c r="H23"/>
  <c r="H22"/>
  <c r="H21"/>
  <c r="F28"/>
  <c r="F27"/>
  <c r="F26"/>
  <c r="F25"/>
  <c r="F24"/>
  <c r="F23"/>
  <c r="F22"/>
  <c r="F21"/>
  <c r="F20"/>
  <c r="D28"/>
  <c r="D27"/>
  <c r="D26"/>
  <c r="D25"/>
  <c r="D24"/>
  <c r="D23"/>
  <c r="D22"/>
  <c r="D21"/>
  <c r="D20"/>
  <c r="D19"/>
  <c r="U28"/>
  <c r="S28"/>
  <c r="S27"/>
  <c r="Q28"/>
  <c r="Q27"/>
  <c r="Q26"/>
  <c r="O28"/>
  <c r="O27"/>
  <c r="O26"/>
  <c r="O25"/>
  <c r="M28"/>
  <c r="M27"/>
  <c r="M26"/>
  <c r="M25"/>
  <c r="M24"/>
  <c r="K28"/>
  <c r="K27"/>
  <c r="K26"/>
  <c r="K25"/>
  <c r="K24"/>
  <c r="K23"/>
  <c r="I28"/>
  <c r="I27"/>
  <c r="I26"/>
  <c r="I25"/>
  <c r="I24"/>
  <c r="I23"/>
  <c r="I22"/>
  <c r="G28"/>
  <c r="G27"/>
  <c r="G26"/>
  <c r="G25"/>
  <c r="G24"/>
  <c r="G23"/>
  <c r="G22"/>
  <c r="G21"/>
  <c r="E28"/>
  <c r="E27"/>
  <c r="E26"/>
  <c r="E25"/>
  <c r="E24"/>
  <c r="E23"/>
  <c r="E22"/>
  <c r="E21"/>
  <c r="E20"/>
  <c r="C28"/>
  <c r="C27"/>
  <c r="C26"/>
  <c r="C25"/>
  <c r="C24"/>
  <c r="C23"/>
  <c r="C22"/>
  <c r="C21"/>
  <c r="C20"/>
  <c r="C19"/>
  <c r="U14"/>
  <c r="S14"/>
  <c r="S13"/>
  <c r="Q14"/>
  <c r="Q13"/>
  <c r="Q12"/>
  <c r="O14"/>
  <c r="O13"/>
  <c r="O12"/>
  <c r="O11"/>
  <c r="M14"/>
  <c r="M13"/>
  <c r="M12"/>
  <c r="M11"/>
  <c r="M10"/>
  <c r="K14"/>
  <c r="K13"/>
  <c r="K12"/>
  <c r="K11"/>
  <c r="K10"/>
  <c r="K9"/>
  <c r="I14"/>
  <c r="I13"/>
  <c r="I12"/>
  <c r="I11"/>
  <c r="I10"/>
  <c r="I9"/>
  <c r="I8"/>
  <c r="G14"/>
  <c r="G13"/>
  <c r="G12"/>
  <c r="G11"/>
  <c r="G10"/>
  <c r="G9"/>
  <c r="G8"/>
  <c r="G7"/>
  <c r="E14"/>
  <c r="E13"/>
  <c r="E12"/>
  <c r="E11"/>
  <c r="E10"/>
  <c r="E9"/>
  <c r="E8"/>
  <c r="E7"/>
  <c r="E6"/>
  <c r="C14"/>
  <c r="C13"/>
  <c r="C12"/>
  <c r="C11"/>
  <c r="C10"/>
  <c r="C9"/>
  <c r="C8"/>
  <c r="C7"/>
  <c r="C6"/>
  <c r="C5"/>
  <c r="B39" i="9"/>
  <c r="H39" s="1"/>
  <c r="B26"/>
  <c r="H26" s="1"/>
  <c r="C4" i="1"/>
  <c r="D4"/>
  <c r="F4"/>
  <c r="C5"/>
  <c r="D5"/>
  <c r="E5"/>
  <c r="F5"/>
  <c r="G5"/>
  <c r="C6"/>
  <c r="D6"/>
  <c r="E6"/>
  <c r="F6"/>
  <c r="G6"/>
  <c r="C7"/>
  <c r="D7"/>
  <c r="E7"/>
  <c r="F7"/>
  <c r="G7"/>
  <c r="C8"/>
  <c r="D8"/>
  <c r="E8"/>
  <c r="F8"/>
  <c r="G8"/>
  <c r="C9"/>
  <c r="D9"/>
  <c r="E9"/>
  <c r="F9"/>
  <c r="C10"/>
  <c r="D10"/>
  <c r="E10"/>
  <c r="F10"/>
  <c r="G10"/>
  <c r="C11"/>
  <c r="D11"/>
  <c r="E11"/>
  <c r="F11"/>
  <c r="G11"/>
  <c r="C12"/>
  <c r="D12"/>
  <c r="E12"/>
  <c r="F12"/>
  <c r="G12"/>
  <c r="C13"/>
  <c r="D13"/>
  <c r="E13"/>
  <c r="F13"/>
  <c r="G13"/>
  <c r="P9" i="2"/>
  <c r="H7" i="1"/>
  <c r="P15" i="2"/>
  <c r="H13" i="1"/>
  <c r="P13" i="2"/>
  <c r="H11" i="1"/>
  <c r="P12" i="2"/>
  <c r="H10" i="1" s="1"/>
  <c r="P11" i="2"/>
  <c r="H9" i="1" s="1"/>
  <c r="P10" i="2"/>
  <c r="H8" i="1" s="1"/>
  <c r="P8" i="2"/>
  <c r="H6" i="1" s="1"/>
  <c r="P7" i="2"/>
  <c r="H5" i="1" s="1"/>
  <c r="P6" i="2"/>
  <c r="H4" i="1" s="1"/>
  <c r="AS6" i="5" s="1"/>
  <c r="O15" i="2"/>
  <c r="F3" i="1"/>
  <c r="D3"/>
  <c r="C3"/>
  <c r="O14" i="2"/>
  <c r="O13"/>
  <c r="O12"/>
  <c r="O11"/>
  <c r="O10"/>
  <c r="O9"/>
  <c r="O8"/>
  <c r="O7"/>
  <c r="O6"/>
  <c r="O5"/>
  <c r="O2"/>
  <c r="AC2" i="5"/>
  <c r="F2" i="1"/>
  <c r="C2"/>
  <c r="D2"/>
  <c r="E2"/>
  <c r="B2"/>
  <c r="AL18" i="5"/>
  <c r="AL21"/>
  <c r="AL25"/>
  <c r="AM40"/>
  <c r="AM54" s="1"/>
  <c r="AM68" s="1"/>
  <c r="AM82" s="1"/>
  <c r="AL26"/>
  <c r="AL22"/>
  <c r="AM48"/>
  <c r="AM62" s="1"/>
  <c r="AM76" s="1"/>
  <c r="H24" i="9"/>
  <c r="AL24" i="5"/>
  <c r="H25" i="9"/>
  <c r="C19"/>
  <c r="D25"/>
  <c r="D32"/>
  <c r="E36"/>
  <c r="E32"/>
  <c r="C38"/>
  <c r="C31"/>
  <c r="E25"/>
  <c r="E21"/>
  <c r="E17"/>
  <c r="D22"/>
  <c r="D16"/>
  <c r="E12"/>
  <c r="E8"/>
  <c r="E4"/>
  <c r="D9"/>
  <c r="D3"/>
  <c r="AL17" i="5"/>
  <c r="H12" i="9"/>
  <c r="C24"/>
  <c r="D24"/>
  <c r="E22"/>
  <c r="H11"/>
  <c r="C34"/>
  <c r="C8"/>
  <c r="D33"/>
  <c r="D7"/>
  <c r="AI30" i="5"/>
  <c r="AL19"/>
  <c r="AL23"/>
  <c r="AL27"/>
  <c r="AL20"/>
  <c r="C29" i="9"/>
  <c r="D12"/>
  <c r="D19"/>
  <c r="E37"/>
  <c r="E33"/>
  <c r="E29"/>
  <c r="D34"/>
  <c r="C39"/>
  <c r="C35"/>
  <c r="E24"/>
  <c r="E20"/>
  <c r="E16"/>
  <c r="D21"/>
  <c r="C26"/>
  <c r="C22"/>
  <c r="E13"/>
  <c r="E9"/>
  <c r="E5"/>
  <c r="D11"/>
  <c r="D4"/>
  <c r="C7"/>
  <c r="C11"/>
  <c r="C16"/>
  <c r="D6"/>
  <c r="E38"/>
  <c r="E34"/>
  <c r="E30"/>
  <c r="D35"/>
  <c r="D29"/>
  <c r="C20"/>
  <c r="E23"/>
  <c r="E19"/>
  <c r="D18"/>
  <c r="C25"/>
  <c r="E10"/>
  <c r="E6"/>
  <c r="D5"/>
  <c r="C5"/>
  <c r="C12"/>
  <c r="C3"/>
  <c r="B13"/>
  <c r="H13" s="1"/>
  <c r="C21"/>
  <c r="D20"/>
  <c r="AI44" i="5"/>
  <c r="AL38"/>
  <c r="AL35"/>
  <c r="AL40"/>
  <c r="AL42"/>
  <c r="AL31"/>
  <c r="AL32"/>
  <c r="AL34"/>
  <c r="AL45"/>
  <c r="AI58"/>
  <c r="AL54"/>
  <c r="AL52"/>
  <c r="AL56"/>
  <c r="AL46"/>
  <c r="AL48"/>
  <c r="AL49"/>
  <c r="AS8"/>
  <c r="AI72"/>
  <c r="AL59"/>
  <c r="AL66"/>
  <c r="AL69"/>
  <c r="AL68"/>
  <c r="AL62"/>
  <c r="AL70"/>
  <c r="AL64"/>
  <c r="AL67"/>
  <c r="AL65"/>
  <c r="AL60"/>
  <c r="AL63"/>
  <c r="AL61"/>
  <c r="AL83"/>
  <c r="AL82"/>
  <c r="AL78"/>
  <c r="AL75"/>
  <c r="AL73"/>
  <c r="AL84"/>
  <c r="AL80"/>
  <c r="AL77"/>
  <c r="AL76"/>
  <c r="AL74"/>
  <c r="AL81"/>
  <c r="AL79"/>
  <c r="AR6" l="1"/>
  <c r="AQ3"/>
  <c r="AM51"/>
  <c r="AL37"/>
  <c r="AM47"/>
  <c r="AL33"/>
  <c r="S3" i="4"/>
  <c r="S17"/>
  <c r="S31"/>
  <c r="K3"/>
  <c r="K17"/>
  <c r="K31"/>
  <c r="C3"/>
  <c r="C17"/>
  <c r="C31"/>
  <c r="AR3" i="5"/>
  <c r="K7"/>
  <c r="AV7"/>
  <c r="G9" s="1"/>
  <c r="AR7"/>
  <c r="F9"/>
  <c r="AS7"/>
  <c r="AM55"/>
  <c r="AL41"/>
  <c r="AM53"/>
  <c r="AL39"/>
  <c r="AM50"/>
  <c r="AL36"/>
  <c r="W3" i="4"/>
  <c r="W17"/>
  <c r="W31"/>
  <c r="O3"/>
  <c r="O17"/>
  <c r="O31"/>
  <c r="F12" i="5"/>
  <c r="AQ10"/>
  <c r="AT10" s="1"/>
  <c r="AV10"/>
  <c r="G12" s="1"/>
  <c r="AS10"/>
  <c r="AR10"/>
  <c r="AQ11"/>
  <c r="AT11" s="1"/>
  <c r="AV11"/>
  <c r="G13" s="1"/>
  <c r="AR11"/>
  <c r="AS11"/>
  <c r="F13"/>
  <c r="AO4"/>
  <c r="AQ4" s="1"/>
  <c r="AV9"/>
  <c r="G11" s="1"/>
  <c r="AR9"/>
  <c r="F11"/>
  <c r="AQ9"/>
  <c r="AT9" s="1"/>
  <c r="AS9"/>
  <c r="AV8"/>
  <c r="G10" s="1"/>
  <c r="F10"/>
  <c r="AR8"/>
  <c r="E8"/>
  <c r="C50" i="11"/>
  <c r="C18" i="9"/>
  <c r="E18"/>
  <c r="C23"/>
  <c r="D26"/>
  <c r="B6" i="4"/>
  <c r="F7" i="5"/>
  <c r="D17" i="9"/>
  <c r="E26"/>
  <c r="C17"/>
  <c r="D39"/>
  <c r="C32"/>
  <c r="D31"/>
  <c r="G3" i="4" l="1"/>
  <c r="G17"/>
  <c r="G31"/>
  <c r="E10" i="5"/>
  <c r="AZ9"/>
  <c r="AY9"/>
  <c r="AU9"/>
  <c r="AW9" s="1"/>
  <c r="AR4"/>
  <c r="K14"/>
  <c r="E12"/>
  <c r="I12"/>
  <c r="J12" s="1"/>
  <c r="K12"/>
  <c r="H12"/>
  <c r="AM64"/>
  <c r="AM78" s="1"/>
  <c r="AL50"/>
  <c r="AM67"/>
  <c r="AM81" s="1"/>
  <c r="AL53"/>
  <c r="AM69"/>
  <c r="AM83" s="1"/>
  <c r="AL55"/>
  <c r="E9"/>
  <c r="F41" i="11"/>
  <c r="V35"/>
  <c r="AI35" s="1"/>
  <c r="J38"/>
  <c r="Z39"/>
  <c r="AM39" s="1"/>
  <c r="C33"/>
  <c r="V32"/>
  <c r="AI32" s="1"/>
  <c r="W39"/>
  <c r="AJ39" s="1"/>
  <c r="I32"/>
  <c r="I31" i="3" s="1"/>
  <c r="J39" i="11"/>
  <c r="J38" i="3" s="1"/>
  <c r="K39" i="11"/>
  <c r="W35"/>
  <c r="AJ35" s="1"/>
  <c r="W41"/>
  <c r="AJ41" s="1"/>
  <c r="W36"/>
  <c r="AJ36" s="1"/>
  <c r="J35"/>
  <c r="J34" i="3" s="1"/>
  <c r="L36" i="11"/>
  <c r="E41"/>
  <c r="J36"/>
  <c r="J35" i="3" s="1"/>
  <c r="D38" i="11"/>
  <c r="P34"/>
  <c r="AC34" s="1"/>
  <c r="D35"/>
  <c r="H39"/>
  <c r="J41"/>
  <c r="J40" i="3" s="1"/>
  <c r="G42" i="11"/>
  <c r="F35"/>
  <c r="L32"/>
  <c r="G35"/>
  <c r="D36"/>
  <c r="Q41"/>
  <c r="AD41" s="1"/>
  <c r="I39"/>
  <c r="K38"/>
  <c r="P39"/>
  <c r="AC39" s="1"/>
  <c r="Z37"/>
  <c r="AM37" s="1"/>
  <c r="U36"/>
  <c r="AH36" s="1"/>
  <c r="Q34"/>
  <c r="AD34" s="1"/>
  <c r="L41"/>
  <c r="L33"/>
  <c r="S42"/>
  <c r="AF42" s="1"/>
  <c r="V41"/>
  <c r="AI41" s="1"/>
  <c r="V39"/>
  <c r="AI39" s="1"/>
  <c r="Y38"/>
  <c r="AL38" s="1"/>
  <c r="Q38"/>
  <c r="AD38" s="1"/>
  <c r="T37"/>
  <c r="AG37" s="1"/>
  <c r="S36"/>
  <c r="AF36" s="1"/>
  <c r="Z33"/>
  <c r="AM33" s="1"/>
  <c r="V33"/>
  <c r="AI33" s="1"/>
  <c r="M42"/>
  <c r="C40"/>
  <c r="L37"/>
  <c r="E34"/>
  <c r="Q35"/>
  <c r="AD35" s="1"/>
  <c r="T39"/>
  <c r="AG39" s="1"/>
  <c r="V37"/>
  <c r="AI37" s="1"/>
  <c r="Y36"/>
  <c r="AL36" s="1"/>
  <c r="Q36"/>
  <c r="AD36" s="1"/>
  <c r="X33"/>
  <c r="AK33" s="1"/>
  <c r="I42"/>
  <c r="D41"/>
  <c r="D40" i="3" s="1"/>
  <c r="C36" i="11"/>
  <c r="T36"/>
  <c r="AG36" s="1"/>
  <c r="Z34"/>
  <c r="AM34" s="1"/>
  <c r="R34"/>
  <c r="AE34" s="1"/>
  <c r="X32"/>
  <c r="AK32" s="1"/>
  <c r="X42"/>
  <c r="AK42" s="1"/>
  <c r="R40"/>
  <c r="AE40" s="1"/>
  <c r="K41"/>
  <c r="E39"/>
  <c r="F36"/>
  <c r="F35" i="3" s="1"/>
  <c r="J34" i="11"/>
  <c r="K35"/>
  <c r="S41"/>
  <c r="AF41" s="1"/>
  <c r="I35"/>
  <c r="I34" i="3" s="1"/>
  <c r="W38" i="11"/>
  <c r="AJ38" s="1"/>
  <c r="M39"/>
  <c r="M38" i="3" s="1"/>
  <c r="P33" i="11"/>
  <c r="AC33" s="1"/>
  <c r="J42"/>
  <c r="W33"/>
  <c r="AJ33" s="1"/>
  <c r="W37"/>
  <c r="AJ37" s="1"/>
  <c r="T35"/>
  <c r="AG35" s="1"/>
  <c r="C35"/>
  <c r="C39"/>
  <c r="C38" i="3" s="1"/>
  <c r="K33" i="11"/>
  <c r="K32" i="3" s="1"/>
  <c r="J40" i="11"/>
  <c r="U35"/>
  <c r="AH35" s="1"/>
  <c r="P38"/>
  <c r="AC38" s="1"/>
  <c r="U39"/>
  <c r="AH39" s="1"/>
  <c r="E32"/>
  <c r="I36"/>
  <c r="S34"/>
  <c r="AF34" s="1"/>
  <c r="U42"/>
  <c r="AH42" s="1"/>
  <c r="Q42"/>
  <c r="AD42" s="1"/>
  <c r="X41"/>
  <c r="AK41" s="1"/>
  <c r="T41"/>
  <c r="AG41" s="1"/>
  <c r="P41"/>
  <c r="AC41" s="1"/>
  <c r="X39"/>
  <c r="AK39" s="1"/>
  <c r="E38"/>
  <c r="G32"/>
  <c r="H38"/>
  <c r="H40"/>
  <c r="V42"/>
  <c r="AI42" s="1"/>
  <c r="E35"/>
  <c r="J33"/>
  <c r="J32" i="3" s="1"/>
  <c r="L35" i="11"/>
  <c r="W34"/>
  <c r="AJ34" s="1"/>
  <c r="W40"/>
  <c r="AJ40" s="1"/>
  <c r="D32"/>
  <c r="M38"/>
  <c r="Q37"/>
  <c r="AD37" s="1"/>
  <c r="P32"/>
  <c r="AC32" s="1"/>
  <c r="Q39"/>
  <c r="AD39" s="1"/>
  <c r="C41"/>
  <c r="F32"/>
  <c r="H41"/>
  <c r="I38"/>
  <c r="G36"/>
  <c r="G35" i="3" s="1"/>
  <c r="C32" i="11"/>
  <c r="C31" i="3" s="1"/>
  <c r="T42" i="11"/>
  <c r="AG42" s="1"/>
  <c r="Z40"/>
  <c r="AM40" s="1"/>
  <c r="Y39"/>
  <c r="AL39" s="1"/>
  <c r="T38"/>
  <c r="AG38" s="1"/>
  <c r="V36"/>
  <c r="AI36" s="1"/>
  <c r="Y35"/>
  <c r="AL35" s="1"/>
  <c r="T34"/>
  <c r="AG34" s="1"/>
  <c r="Z32"/>
  <c r="AM32" s="1"/>
  <c r="R32"/>
  <c r="AE32" s="1"/>
  <c r="D34"/>
  <c r="D33" i="3" s="1"/>
  <c r="Q32" i="11"/>
  <c r="AD32" s="1"/>
  <c r="H37"/>
  <c r="Y37"/>
  <c r="AL37" s="1"/>
  <c r="K37"/>
  <c r="E37"/>
  <c r="I41"/>
  <c r="I40" i="3" s="1"/>
  <c r="F42" i="11"/>
  <c r="F41" i="3" s="1"/>
  <c r="S39" i="11"/>
  <c r="AF39" s="1"/>
  <c r="P40"/>
  <c r="AC40" s="1"/>
  <c r="X40"/>
  <c r="AK40" s="1"/>
  <c r="U41"/>
  <c r="AH41" s="1"/>
  <c r="R42"/>
  <c r="AE42" s="1"/>
  <c r="Z42"/>
  <c r="AM42" s="1"/>
  <c r="G33"/>
  <c r="M35"/>
  <c r="Y42"/>
  <c r="AL42" s="1"/>
  <c r="J37"/>
  <c r="J36" i="3" s="1"/>
  <c r="G38" i="11"/>
  <c r="G37" i="3" s="1"/>
  <c r="D39" i="11"/>
  <c r="D38" i="3" s="1"/>
  <c r="L39" i="11"/>
  <c r="L38" i="3" s="1"/>
  <c r="I40" i="11"/>
  <c r="F37"/>
  <c r="D42"/>
  <c r="D41" i="3" s="1"/>
  <c r="G34" i="11"/>
  <c r="G33" i="3" s="1"/>
  <c r="C38" i="11"/>
  <c r="C37" i="3" s="1"/>
  <c r="E40" i="11"/>
  <c r="E39" i="3" s="1"/>
  <c r="W32" i="11"/>
  <c r="AJ32" s="1"/>
  <c r="P35"/>
  <c r="AC35" s="1"/>
  <c r="W42"/>
  <c r="AJ42" s="1"/>
  <c r="F38"/>
  <c r="V38"/>
  <c r="AI38" s="1"/>
  <c r="U33"/>
  <c r="AH33" s="1"/>
  <c r="P37"/>
  <c r="AC37" s="1"/>
  <c r="Z41"/>
  <c r="AM41" s="1"/>
  <c r="R41"/>
  <c r="AE41" s="1"/>
  <c r="R39"/>
  <c r="AE39" s="1"/>
  <c r="U38"/>
  <c r="AH38" s="1"/>
  <c r="X37"/>
  <c r="AK37" s="1"/>
  <c r="Z35"/>
  <c r="AM35" s="1"/>
  <c r="U34"/>
  <c r="AH34" s="1"/>
  <c r="E42"/>
  <c r="E41" i="3" s="1"/>
  <c r="K40" i="11"/>
  <c r="K39" i="3" s="1"/>
  <c r="F39" i="11"/>
  <c r="F38" i="3" s="1"/>
  <c r="D37" i="11"/>
  <c r="D36" i="3" s="1"/>
  <c r="M34" i="11"/>
  <c r="M33" i="3" s="1"/>
  <c r="H33" i="11"/>
  <c r="H32" i="3" s="1"/>
  <c r="L34" i="11"/>
  <c r="G41"/>
  <c r="G40" i="3" s="1"/>
  <c r="L42" i="11"/>
  <c r="L41" i="3" s="1"/>
  <c r="X34" i="11"/>
  <c r="AK34" s="1"/>
  <c r="K34"/>
  <c r="M36"/>
  <c r="C42"/>
  <c r="Q40"/>
  <c r="AD40" s="1"/>
  <c r="U40"/>
  <c r="AH40" s="1"/>
  <c r="Y40"/>
  <c r="AL40" s="1"/>
  <c r="E33"/>
  <c r="H36"/>
  <c r="H35" i="3" s="1"/>
  <c r="M37" i="11"/>
  <c r="M36" i="3" s="1"/>
  <c r="G39" i="11"/>
  <c r="G38" i="3" s="1"/>
  <c r="D40" i="11"/>
  <c r="H34"/>
  <c r="H33" i="3" s="1"/>
  <c r="G37" i="11"/>
  <c r="G36" i="3" s="1"/>
  <c r="L38" i="11"/>
  <c r="L37" i="3" s="1"/>
  <c r="F40" i="11"/>
  <c r="M40"/>
  <c r="M39" i="3" s="1"/>
  <c r="Z36" i="11"/>
  <c r="AM36" s="1"/>
  <c r="M41"/>
  <c r="M40" i="3" s="1"/>
  <c r="M32" i="11"/>
  <c r="M31" i="3" s="1"/>
  <c r="Z38" i="11"/>
  <c r="AM38" s="1"/>
  <c r="I37"/>
  <c r="I36" i="3" s="1"/>
  <c r="T40" i="11"/>
  <c r="AG40" s="1"/>
  <c r="Y41"/>
  <c r="AL41" s="1"/>
  <c r="J32"/>
  <c r="J31" i="3" s="1"/>
  <c r="S38" i="11"/>
  <c r="AF38" s="1"/>
  <c r="R37"/>
  <c r="AE37" s="1"/>
  <c r="X35"/>
  <c r="AK35" s="1"/>
  <c r="T33"/>
  <c r="AG33" s="1"/>
  <c r="G40"/>
  <c r="K36"/>
  <c r="M33"/>
  <c r="M32" i="3" s="1"/>
  <c r="H42" i="11"/>
  <c r="H41" i="3" s="1"/>
  <c r="C37" i="11"/>
  <c r="C36" i="3" s="1"/>
  <c r="R33" i="11"/>
  <c r="AE33" s="1"/>
  <c r="K32"/>
  <c r="K31" i="3" s="1"/>
  <c r="S33" i="11"/>
  <c r="AF33" s="1"/>
  <c r="R38"/>
  <c r="AE38" s="1"/>
  <c r="U37"/>
  <c r="AH37" s="1"/>
  <c r="X36"/>
  <c r="AK36" s="1"/>
  <c r="P36"/>
  <c r="AC36" s="1"/>
  <c r="S35"/>
  <c r="AF35" s="1"/>
  <c r="V34"/>
  <c r="AI34" s="1"/>
  <c r="Y33"/>
  <c r="AL33" s="1"/>
  <c r="Q33"/>
  <c r="AD33" s="1"/>
  <c r="T32"/>
  <c r="AG32" s="1"/>
  <c r="I33"/>
  <c r="I32" i="3" s="1"/>
  <c r="H32" i="11"/>
  <c r="I34"/>
  <c r="I33" i="3" s="1"/>
  <c r="D33" i="11"/>
  <c r="L40"/>
  <c r="L39" i="3" s="1"/>
  <c r="R36" i="11"/>
  <c r="AE36" s="1"/>
  <c r="S37"/>
  <c r="AF37" s="1"/>
  <c r="X38"/>
  <c r="AK38" s="1"/>
  <c r="V40"/>
  <c r="AI40" s="1"/>
  <c r="P42"/>
  <c r="AC42" s="1"/>
  <c r="F33"/>
  <c r="F32" i="3" s="1"/>
  <c r="C34" i="11"/>
  <c r="C33" i="3" s="1"/>
  <c r="H35" i="11"/>
  <c r="H34" i="3" s="1"/>
  <c r="E36" i="11"/>
  <c r="E35" i="3" s="1"/>
  <c r="K42" i="11"/>
  <c r="K41" i="3" s="1"/>
  <c r="U32" i="11"/>
  <c r="AH32" s="1"/>
  <c r="Y32"/>
  <c r="AL32" s="1"/>
  <c r="Y34"/>
  <c r="AL34" s="1"/>
  <c r="R35"/>
  <c r="AE35" s="1"/>
  <c r="F34"/>
  <c r="F33" i="3" s="1"/>
  <c r="S40" i="11"/>
  <c r="AF40" s="1"/>
  <c r="S32"/>
  <c r="AF32" s="1"/>
  <c r="I7"/>
  <c r="I7" i="3" s="1"/>
  <c r="M11" i="11"/>
  <c r="M11" i="3" s="1"/>
  <c r="F13" i="11"/>
  <c r="F13" i="3" s="1"/>
  <c r="J10" i="11"/>
  <c r="J10" i="3" s="1"/>
  <c r="I4" i="11"/>
  <c r="I4" i="3" s="1"/>
  <c r="J11" i="11"/>
  <c r="J11" i="3" s="1"/>
  <c r="J5" i="11"/>
  <c r="J5" i="3" s="1"/>
  <c r="K6" i="11"/>
  <c r="K6" i="3" s="1"/>
  <c r="K10" i="11"/>
  <c r="K10" i="3" s="1"/>
  <c r="K14" i="11"/>
  <c r="K14" i="3" s="1"/>
  <c r="C5" i="11"/>
  <c r="C5" i="3" s="1"/>
  <c r="J6" i="11"/>
  <c r="J6" i="3" s="1"/>
  <c r="J12" i="11"/>
  <c r="J12" i="3" s="1"/>
  <c r="J7" i="11"/>
  <c r="J7" i="3" s="1"/>
  <c r="C7" i="11"/>
  <c r="C7" i="3" s="1"/>
  <c r="L8" i="11"/>
  <c r="L8" i="3" s="1"/>
  <c r="J14" i="11"/>
  <c r="J14" i="3" s="1"/>
  <c r="J9" i="11"/>
  <c r="J9" i="3" s="1"/>
  <c r="D4" i="11"/>
  <c r="D4" i="3" s="1"/>
  <c r="K5" i="11"/>
  <c r="K5" i="3" s="1"/>
  <c r="D6" i="11"/>
  <c r="D6" i="3" s="1"/>
  <c r="H6" i="11"/>
  <c r="H6" i="3" s="1"/>
  <c r="K7" i="11"/>
  <c r="K7" i="3" s="1"/>
  <c r="D8" i="11"/>
  <c r="D8" i="3" s="1"/>
  <c r="D12" i="11"/>
  <c r="D12" i="3" s="1"/>
  <c r="C13" i="11"/>
  <c r="C13" i="3" s="1"/>
  <c r="C12" i="11"/>
  <c r="C12" i="3" s="1"/>
  <c r="K12" i="11"/>
  <c r="K12" i="3" s="1"/>
  <c r="D13" i="11"/>
  <c r="D13" i="3" s="1"/>
  <c r="I8" i="11"/>
  <c r="I8" i="3" s="1"/>
  <c r="C10" i="11"/>
  <c r="C10" i="3" s="1"/>
  <c r="I10" i="11"/>
  <c r="I10" i="3" s="1"/>
  <c r="L4" i="11"/>
  <c r="L4" i="3" s="1"/>
  <c r="C4" i="11"/>
  <c r="C4" i="3" s="1"/>
  <c r="L11" i="11"/>
  <c r="L11" i="3" s="1"/>
  <c r="E10" i="11"/>
  <c r="E10" i="3" s="1"/>
  <c r="C8" i="11"/>
  <c r="C8" i="3" s="1"/>
  <c r="G6" i="11"/>
  <c r="G6" i="3" s="1"/>
  <c r="E4" i="11"/>
  <c r="E4" i="3" s="1"/>
  <c r="G14" i="11"/>
  <c r="G14" i="3" s="1"/>
  <c r="E12" i="11"/>
  <c r="E12" i="3" s="1"/>
  <c r="H11" i="11"/>
  <c r="H11" i="3" s="1"/>
  <c r="L9" i="11"/>
  <c r="L9" i="3" s="1"/>
  <c r="D9" i="11"/>
  <c r="D9" i="3" s="1"/>
  <c r="G8" i="11"/>
  <c r="G8" i="3" s="1"/>
  <c r="C6" i="11"/>
  <c r="C6" i="3" s="1"/>
  <c r="E5" i="11"/>
  <c r="E5" i="3" s="1"/>
  <c r="J13" i="11"/>
  <c r="J13" i="3" s="1"/>
  <c r="J4" i="11"/>
  <c r="J4" i="3" s="1"/>
  <c r="H13" i="11"/>
  <c r="H13" i="3" s="1"/>
  <c r="E14" i="11"/>
  <c r="E14" i="3" s="1"/>
  <c r="D11" i="11"/>
  <c r="D11" i="3" s="1"/>
  <c r="E9" i="11"/>
  <c r="E9" i="3" s="1"/>
  <c r="C11" i="11"/>
  <c r="C11" i="3" s="1"/>
  <c r="K11" i="11"/>
  <c r="K11" i="3" s="1"/>
  <c r="K13" i="11"/>
  <c r="K13" i="3" s="1"/>
  <c r="D14" i="11"/>
  <c r="D14" i="3" s="1"/>
  <c r="H14" i="11"/>
  <c r="H14" i="3" s="1"/>
  <c r="D5" i="11"/>
  <c r="D5" i="3" s="1"/>
  <c r="I6" i="11"/>
  <c r="I6" i="3" s="1"/>
  <c r="D7" i="11"/>
  <c r="D7" i="3" s="1"/>
  <c r="L7" i="11"/>
  <c r="L7" i="3" s="1"/>
  <c r="C9" i="11"/>
  <c r="C9" i="3" s="1"/>
  <c r="G9" i="11"/>
  <c r="G9" i="3" s="1"/>
  <c r="K9" i="11"/>
  <c r="K9" i="3" s="1"/>
  <c r="D10" i="11"/>
  <c r="D10" i="3" s="1"/>
  <c r="H10" i="11"/>
  <c r="H10" i="3" s="1"/>
  <c r="L10" i="11"/>
  <c r="L10" i="3" s="1"/>
  <c r="E11" i="11"/>
  <c r="E11" i="3" s="1"/>
  <c r="I11" i="11"/>
  <c r="I11" i="3" s="1"/>
  <c r="E13" i="11"/>
  <c r="E13" i="3" s="1"/>
  <c r="I13" i="11"/>
  <c r="I13" i="3" s="1"/>
  <c r="K4" i="11"/>
  <c r="K4" i="3" s="1"/>
  <c r="H5" i="11"/>
  <c r="H5" i="3" s="1"/>
  <c r="E6" i="11"/>
  <c r="E6" i="3" s="1"/>
  <c r="H7" i="11"/>
  <c r="H7" i="3" s="1"/>
  <c r="E8" i="11"/>
  <c r="E8" i="3" s="1"/>
  <c r="G10" i="11"/>
  <c r="G10" i="3" s="1"/>
  <c r="H4" i="11"/>
  <c r="H4" i="3" s="1"/>
  <c r="C14" i="11"/>
  <c r="C14" i="3" s="1"/>
  <c r="I12" i="11"/>
  <c r="I12" i="3" s="1"/>
  <c r="H9" i="11"/>
  <c r="H9" i="3" s="1"/>
  <c r="J8" i="11"/>
  <c r="J8" i="3" s="1"/>
  <c r="F11" i="11"/>
  <c r="F11" i="3" s="1"/>
  <c r="E7" i="11"/>
  <c r="E7" i="3" s="1"/>
  <c r="K8" i="11"/>
  <c r="K8" i="3" s="1"/>
  <c r="L6" i="11"/>
  <c r="L6" i="3" s="1"/>
  <c r="G7" i="11"/>
  <c r="G7" i="3" s="1"/>
  <c r="F5" i="11"/>
  <c r="F5" i="3" s="1"/>
  <c r="M10" i="11"/>
  <c r="M10" i="3" s="1"/>
  <c r="M8" i="11"/>
  <c r="M8" i="3" s="1"/>
  <c r="M13" i="11"/>
  <c r="M13" i="3" s="1"/>
  <c r="F8" i="11"/>
  <c r="F8" i="3" s="1"/>
  <c r="F10" i="11"/>
  <c r="F10" i="3" s="1"/>
  <c r="M7" i="11"/>
  <c r="M7" i="3" s="1"/>
  <c r="M4" i="11"/>
  <c r="M4" i="3" s="1"/>
  <c r="M14" i="11"/>
  <c r="M14" i="3" s="1"/>
  <c r="F12" i="11"/>
  <c r="F12" i="3" s="1"/>
  <c r="F7" i="11"/>
  <c r="F7" i="3" s="1"/>
  <c r="M6" i="11"/>
  <c r="M6" i="3" s="1"/>
  <c r="F14" i="11"/>
  <c r="F14" i="3" s="1"/>
  <c r="M5" i="11"/>
  <c r="M5" i="3" s="1"/>
  <c r="M12" i="11"/>
  <c r="M12" i="3" s="1"/>
  <c r="F9" i="11"/>
  <c r="F9" i="3" s="1"/>
  <c r="M9" i="11"/>
  <c r="M9" i="3" s="1"/>
  <c r="F6" i="11"/>
  <c r="F6" i="3" s="1"/>
  <c r="F4" i="11"/>
  <c r="F4" i="3" s="1"/>
  <c r="H12" i="11"/>
  <c r="H12" i="3" s="1"/>
  <c r="H8" i="11"/>
  <c r="H8" i="3" s="1"/>
  <c r="G5" i="11"/>
  <c r="G5" i="3" s="1"/>
  <c r="L5" i="11"/>
  <c r="L5" i="3" s="1"/>
  <c r="G4" i="11"/>
  <c r="G4" i="3" s="1"/>
  <c r="G13" i="11"/>
  <c r="G13" i="3" s="1"/>
  <c r="G11" i="11"/>
  <c r="G11" i="3" s="1"/>
  <c r="I9" i="11"/>
  <c r="I9" i="3" s="1"/>
  <c r="I5" i="11"/>
  <c r="I5" i="3" s="1"/>
  <c r="I14" i="11"/>
  <c r="I14" i="3" s="1"/>
  <c r="L13" i="11"/>
  <c r="L13" i="3" s="1"/>
  <c r="G12" i="11"/>
  <c r="G12" i="3" s="1"/>
  <c r="L14" i="11"/>
  <c r="L14" i="3" s="1"/>
  <c r="L12" i="11"/>
  <c r="L12" i="3" s="1"/>
  <c r="AM61" i="5"/>
  <c r="AM75" s="1"/>
  <c r="AL47"/>
  <c r="AM65"/>
  <c r="AM79" s="1"/>
  <c r="AL51"/>
  <c r="K11"/>
  <c r="H11"/>
  <c r="E11"/>
  <c r="K13"/>
  <c r="H13"/>
  <c r="I13"/>
  <c r="J13" s="1"/>
  <c r="E13"/>
  <c r="AY11"/>
  <c r="AU11" s="1"/>
  <c r="AW11" s="1"/>
  <c r="AZ11"/>
  <c r="AY10"/>
  <c r="AZ10"/>
  <c r="AZ3"/>
  <c r="H7"/>
  <c r="AY3"/>
  <c r="AS3"/>
  <c r="I7" s="1"/>
  <c r="J7" s="1"/>
  <c r="F27" i="11"/>
  <c r="V21"/>
  <c r="W24"/>
  <c r="M25"/>
  <c r="S27"/>
  <c r="I21"/>
  <c r="I21" i="3" s="1"/>
  <c r="J24" i="11"/>
  <c r="J24" i="3" s="1"/>
  <c r="Z25" i="11"/>
  <c r="V18"/>
  <c r="W25"/>
  <c r="R27"/>
  <c r="R23"/>
  <c r="R19"/>
  <c r="X26"/>
  <c r="E19"/>
  <c r="E19" i="3" s="1"/>
  <c r="X28" i="11"/>
  <c r="X20"/>
  <c r="C27"/>
  <c r="C27" i="3" s="1"/>
  <c r="K24" i="11"/>
  <c r="D19"/>
  <c r="Q27"/>
  <c r="C25"/>
  <c r="D25"/>
  <c r="R28"/>
  <c r="P23"/>
  <c r="K23"/>
  <c r="K23" i="3" s="1"/>
  <c r="C22" i="11"/>
  <c r="C18"/>
  <c r="X27"/>
  <c r="X19"/>
  <c r="E22"/>
  <c r="Q26"/>
  <c r="Q18"/>
  <c r="P28"/>
  <c r="E26"/>
  <c r="E18"/>
  <c r="X23"/>
  <c r="C24"/>
  <c r="P27"/>
  <c r="D26"/>
  <c r="D26" i="3" s="1"/>
  <c r="D20" i="11"/>
  <c r="P21"/>
  <c r="R22"/>
  <c r="Q28"/>
  <c r="K21"/>
  <c r="R26"/>
  <c r="K19"/>
  <c r="R21"/>
  <c r="R20"/>
  <c r="J28"/>
  <c r="J28" i="3" s="1"/>
  <c r="J18" i="11"/>
  <c r="W18"/>
  <c r="J22"/>
  <c r="W23"/>
  <c r="W27"/>
  <c r="H23"/>
  <c r="I28"/>
  <c r="I27"/>
  <c r="Y19"/>
  <c r="Z18"/>
  <c r="S22"/>
  <c r="T19"/>
  <c r="L23"/>
  <c r="U27"/>
  <c r="S21"/>
  <c r="F19"/>
  <c r="M22"/>
  <c r="H28"/>
  <c r="L18"/>
  <c r="V24"/>
  <c r="S20"/>
  <c r="S24"/>
  <c r="S28"/>
  <c r="T18"/>
  <c r="S18"/>
  <c r="H20"/>
  <c r="Z24"/>
  <c r="G22"/>
  <c r="M27"/>
  <c r="H27"/>
  <c r="H27" i="3" s="1"/>
  <c r="M28" i="11"/>
  <c r="V22"/>
  <c r="M21"/>
  <c r="L22"/>
  <c r="I23"/>
  <c r="U19"/>
  <c r="G27"/>
  <c r="M19"/>
  <c r="U22"/>
  <c r="Y25"/>
  <c r="W28"/>
  <c r="W26"/>
  <c r="J26"/>
  <c r="Z26"/>
  <c r="Z20"/>
  <c r="U28"/>
  <c r="F25"/>
  <c r="H26"/>
  <c r="S25"/>
  <c r="T27"/>
  <c r="M23"/>
  <c r="M18"/>
  <c r="M18" i="3" s="1"/>
  <c r="F21" i="11"/>
  <c r="F21" i="3" s="1"/>
  <c r="F23" i="11"/>
  <c r="U21"/>
  <c r="I19"/>
  <c r="Y27"/>
  <c r="V19"/>
  <c r="V23"/>
  <c r="V27"/>
  <c r="T23"/>
  <c r="H19"/>
  <c r="H19" i="3" s="1"/>
  <c r="H24" i="11"/>
  <c r="U24"/>
  <c r="T28"/>
  <c r="H18"/>
  <c r="M26"/>
  <c r="Z19"/>
  <c r="P19"/>
  <c r="J25"/>
  <c r="J25" i="3" s="1"/>
  <c r="X25" i="11"/>
  <c r="X21"/>
  <c r="K28"/>
  <c r="Q23"/>
  <c r="D18"/>
  <c r="D18" i="3" s="1"/>
  <c r="Q25" i="11"/>
  <c r="D28"/>
  <c r="C26"/>
  <c r="D23"/>
  <c r="C20"/>
  <c r="C20" i="3" s="1"/>
  <c r="K18" i="11"/>
  <c r="X22"/>
  <c r="E23"/>
  <c r="D22"/>
  <c r="D22" i="3" s="1"/>
  <c r="R25" i="11"/>
  <c r="E28"/>
  <c r="E28" i="3" s="1"/>
  <c r="K26" i="11"/>
  <c r="K25"/>
  <c r="K25" i="3" s="1"/>
  <c r="E25" i="11"/>
  <c r="E25" i="3" s="1"/>
  <c r="X24" i="11"/>
  <c r="P22"/>
  <c r="K20"/>
  <c r="K20" i="3" s="1"/>
  <c r="E21" i="11"/>
  <c r="Q24"/>
  <c r="Q21"/>
  <c r="E20"/>
  <c r="E20" i="3" s="1"/>
  <c r="Q22" i="11"/>
  <c r="P26"/>
  <c r="P20"/>
  <c r="E24"/>
  <c r="P18"/>
  <c r="C23"/>
  <c r="C23" i="3" s="1"/>
  <c r="C21" i="11"/>
  <c r="P24"/>
  <c r="X18"/>
  <c r="D27"/>
  <c r="D27" i="3" s="1"/>
  <c r="C19" i="11"/>
  <c r="C19" i="3" s="1"/>
  <c r="I18" i="11"/>
  <c r="I18" i="3" s="1"/>
  <c r="P25" i="11"/>
  <c r="C28"/>
  <c r="C28" i="3" s="1"/>
  <c r="Q19" i="11"/>
  <c r="K27"/>
  <c r="K27" i="3" s="1"/>
  <c r="K22" i="11"/>
  <c r="R24"/>
  <c r="Q20"/>
  <c r="D21"/>
  <c r="D21" i="3" s="1"/>
  <c r="E27" i="11"/>
  <c r="E27" i="3" s="1"/>
  <c r="D24" i="11"/>
  <c r="D24" i="3" s="1"/>
  <c r="R18" i="11"/>
  <c r="J27"/>
  <c r="J27" i="3" s="1"/>
  <c r="J21" i="11"/>
  <c r="J19"/>
  <c r="J19" i="3" s="1"/>
  <c r="J23" i="11"/>
  <c r="W20"/>
  <c r="W19"/>
  <c r="J20"/>
  <c r="J20" i="3" s="1"/>
  <c r="Z27" i="11"/>
  <c r="I25"/>
  <c r="Z21"/>
  <c r="L19"/>
  <c r="L19" i="3" s="1"/>
  <c r="F22" i="11"/>
  <c r="F22" i="3" s="1"/>
  <c r="Y28" i="11"/>
  <c r="U25"/>
  <c r="H22"/>
  <c r="H22" i="3" s="1"/>
  <c r="G18" i="11"/>
  <c r="L21"/>
  <c r="L21" i="3" s="1"/>
  <c r="G24" i="11"/>
  <c r="Z22"/>
  <c r="F20"/>
  <c r="F20" i="3" s="1"/>
  <c r="Y18" i="11"/>
  <c r="Y22"/>
  <c r="Y26"/>
  <c r="G23"/>
  <c r="G23" i="3" s="1"/>
  <c r="L27" i="11"/>
  <c r="L27" i="3" s="1"/>
  <c r="Y24" i="11"/>
  <c r="F26"/>
  <c r="G20"/>
  <c r="T22"/>
  <c r="S23"/>
  <c r="I20"/>
  <c r="F18"/>
  <c r="F18" i="3" s="1"/>
  <c r="F24" i="11"/>
  <c r="F24" i="3" s="1"/>
  <c r="G25" i="11"/>
  <c r="I24"/>
  <c r="I24" i="3" s="1"/>
  <c r="L25" i="11"/>
  <c r="T24"/>
  <c r="U18"/>
  <c r="U26"/>
  <c r="I26"/>
  <c r="W21"/>
  <c r="W22"/>
  <c r="V25"/>
  <c r="U20"/>
  <c r="T26"/>
  <c r="Y21"/>
  <c r="Y20"/>
  <c r="F28"/>
  <c r="F28" i="3" s="1"/>
  <c r="H25" i="11"/>
  <c r="H25" i="3" s="1"/>
  <c r="G21" i="11"/>
  <c r="Z28"/>
  <c r="V26"/>
  <c r="V20"/>
  <c r="G28"/>
  <c r="G28" i="3" s="1"/>
  <c r="T21" i="11"/>
  <c r="G19"/>
  <c r="G19" i="3" s="1"/>
  <c r="M20" i="11"/>
  <c r="M20" i="3" s="1"/>
  <c r="L24" i="11"/>
  <c r="L24" i="3" s="1"/>
  <c r="S26" i="11"/>
  <c r="G26"/>
  <c r="V28"/>
  <c r="U23"/>
  <c r="L28"/>
  <c r="L28" i="3" s="1"/>
  <c r="Z23" i="11"/>
  <c r="T25"/>
  <c r="L20"/>
  <c r="I22"/>
  <c r="I22" i="3" s="1"/>
  <c r="Y23" i="11"/>
  <c r="M24"/>
  <c r="M24" i="3" s="1"/>
  <c r="T20" i="11"/>
  <c r="L26"/>
  <c r="L26" i="3" s="1"/>
  <c r="H21" i="11"/>
  <c r="H21" i="3" s="1"/>
  <c r="S19" i="11"/>
  <c r="H18" i="3" l="1"/>
  <c r="F23"/>
  <c r="L22"/>
  <c r="C18"/>
  <c r="AU10" i="5"/>
  <c r="AW10" s="1"/>
  <c r="D32" i="3"/>
  <c r="G39"/>
  <c r="D39"/>
  <c r="K33"/>
  <c r="C40"/>
  <c r="AZ4" i="5"/>
  <c r="AY4"/>
  <c r="AS4"/>
  <c r="I14" s="1"/>
  <c r="I25" i="3"/>
  <c r="E24"/>
  <c r="C26"/>
  <c r="I19"/>
  <c r="H26"/>
  <c r="M19"/>
  <c r="G22"/>
  <c r="H20"/>
  <c r="H28"/>
  <c r="F19"/>
  <c r="I27"/>
  <c r="H23"/>
  <c r="C24"/>
  <c r="E18"/>
  <c r="C25"/>
  <c r="D19"/>
  <c r="M25"/>
  <c r="AQ6" i="5"/>
  <c r="K35" i="3"/>
  <c r="M35"/>
  <c r="F37"/>
  <c r="F36"/>
  <c r="G32"/>
  <c r="K36"/>
  <c r="H36"/>
  <c r="I37"/>
  <c r="F31"/>
  <c r="D31"/>
  <c r="H37"/>
  <c r="E37"/>
  <c r="I35"/>
  <c r="C34"/>
  <c r="J41"/>
  <c r="K34"/>
  <c r="K40"/>
  <c r="E33"/>
  <c r="C39"/>
  <c r="L40"/>
  <c r="I38"/>
  <c r="D35"/>
  <c r="L31"/>
  <c r="G41"/>
  <c r="H38"/>
  <c r="L35"/>
  <c r="C32"/>
  <c r="J37"/>
  <c r="F40"/>
  <c r="I20"/>
  <c r="F26"/>
  <c r="L20"/>
  <c r="G26"/>
  <c r="G21"/>
  <c r="I26"/>
  <c r="L25"/>
  <c r="G25"/>
  <c r="G20"/>
  <c r="G24"/>
  <c r="G18"/>
  <c r="J23"/>
  <c r="J21"/>
  <c r="K22"/>
  <c r="C21"/>
  <c r="E21"/>
  <c r="K26"/>
  <c r="E23"/>
  <c r="K18"/>
  <c r="D23"/>
  <c r="D28"/>
  <c r="K28"/>
  <c r="M26"/>
  <c r="H24"/>
  <c r="M23"/>
  <c r="F25"/>
  <c r="J26"/>
  <c r="G27"/>
  <c r="I23"/>
  <c r="M21"/>
  <c r="M28"/>
  <c r="M27"/>
  <c r="L18"/>
  <c r="M22"/>
  <c r="L23"/>
  <c r="I28"/>
  <c r="J22"/>
  <c r="J18"/>
  <c r="K19"/>
  <c r="K21"/>
  <c r="D20"/>
  <c r="E26"/>
  <c r="E22"/>
  <c r="C22"/>
  <c r="D25"/>
  <c r="K24"/>
  <c r="F27"/>
  <c r="AQ8" i="5"/>
  <c r="H31" i="3"/>
  <c r="F39"/>
  <c r="E32"/>
  <c r="C41"/>
  <c r="L33"/>
  <c r="I39"/>
  <c r="M34"/>
  <c r="E36"/>
  <c r="H40"/>
  <c r="M37"/>
  <c r="L34"/>
  <c r="E34"/>
  <c r="H39"/>
  <c r="G31"/>
  <c r="E31"/>
  <c r="J39"/>
  <c r="J33"/>
  <c r="E38"/>
  <c r="C35"/>
  <c r="I41"/>
  <c r="L36"/>
  <c r="M41"/>
  <c r="L32"/>
  <c r="K37"/>
  <c r="G34"/>
  <c r="AQ7" i="5" s="1"/>
  <c r="F34" i="3"/>
  <c r="D34"/>
  <c r="D37"/>
  <c r="E40"/>
  <c r="K38"/>
  <c r="AT7" i="5" l="1"/>
  <c r="K9"/>
  <c r="J14"/>
  <c r="I11"/>
  <c r="J11" s="1"/>
  <c r="AT8"/>
  <c r="K10"/>
  <c r="AT6"/>
  <c r="K8"/>
  <c r="AS13"/>
  <c r="K20" s="1"/>
  <c r="AZ6" l="1"/>
  <c r="AY6"/>
  <c r="AU6"/>
  <c r="H8"/>
  <c r="AY7"/>
  <c r="AU7" s="1"/>
  <c r="AZ7"/>
  <c r="H9"/>
  <c r="AY8"/>
  <c r="AU8"/>
  <c r="AZ8"/>
  <c r="H10"/>
  <c r="AW7" l="1"/>
  <c r="I9"/>
  <c r="J9" s="1"/>
  <c r="AW6"/>
  <c r="I8"/>
  <c r="J8" s="1"/>
  <c r="K18" s="1"/>
  <c r="AW8"/>
  <c r="I10"/>
  <c r="J10" s="1"/>
  <c r="AW13" l="1"/>
</calcChain>
</file>

<file path=xl/comments1.xml><?xml version="1.0" encoding="utf-8"?>
<comments xmlns="http://schemas.openxmlformats.org/spreadsheetml/2006/main">
  <authors>
    <author>Nick</author>
  </authors>
  <commentList>
    <comment ref="B2" authorId="0">
      <text>
        <r>
          <rPr>
            <b/>
            <sz val="9"/>
            <color indexed="81"/>
            <rFont val="Tahoma"/>
            <family val="2"/>
          </rPr>
          <t xml:space="preserve">INSTRUCTIONS: </t>
        </r>
        <r>
          <rPr>
            <sz val="9"/>
            <color indexed="81"/>
            <rFont val="Tahoma"/>
            <family val="2"/>
          </rPr>
          <t xml:space="preserve">Use the drop down boxes below to select restaurants may like to attend, number of burgers you desire, whether it is peak or off peak timing, and starting location.  Also enter your value of an hour.  Run evolutionary solver (you can use the glg solver but it tends to find local maximums and hangs about 1/5 times so evolutionary solver provides better results).  The output will show the starting and ending location, the restaurants to visit, and how to travel between restaurants.  The total time is also provided.  </t>
        </r>
        <r>
          <rPr>
            <i/>
            <sz val="9"/>
            <color indexed="81"/>
            <rFont val="Tahoma"/>
            <family val="2"/>
          </rPr>
          <t xml:space="preserve">The utility function that is being maximized is hidden in cell K20.  For detail on this funtion see the slides.  For detail on how the model works in excel, most of the calculations are done on this sheet if you scroll to the right.  </t>
        </r>
        <r>
          <rPr>
            <sz val="9"/>
            <color indexed="81"/>
            <rFont val="Tahoma"/>
            <family val="2"/>
          </rPr>
          <t xml:space="preserve">
</t>
        </r>
      </text>
    </comment>
  </commentList>
</comments>
</file>

<file path=xl/comments2.xml><?xml version="1.0" encoding="utf-8"?>
<comments xmlns="http://schemas.openxmlformats.org/spreadsheetml/2006/main">
  <authors>
    <author>Robert Wienke</author>
  </authors>
  <commentList>
    <comment ref="M6" authorId="0">
      <text>
        <r>
          <rPr>
            <b/>
            <sz val="9"/>
            <color indexed="81"/>
            <rFont val="Tahoma"/>
            <family val="2"/>
          </rPr>
          <t>Robert Wienke:</t>
        </r>
        <r>
          <rPr>
            <sz val="9"/>
            <color indexed="81"/>
            <rFont val="Tahoma"/>
            <family val="2"/>
          </rPr>
          <t xml:space="preserve">
Nick</t>
        </r>
      </text>
    </comment>
    <comment ref="M7" authorId="0">
      <text>
        <r>
          <rPr>
            <b/>
            <sz val="9"/>
            <color indexed="81"/>
            <rFont val="Tahoma"/>
            <family val="2"/>
          </rPr>
          <t>Robert Wienke:</t>
        </r>
        <r>
          <rPr>
            <sz val="9"/>
            <color indexed="81"/>
            <rFont val="Tahoma"/>
            <family val="2"/>
          </rPr>
          <t xml:space="preserve">
Matt</t>
        </r>
      </text>
    </comment>
    <comment ref="M8" authorId="0">
      <text>
        <r>
          <rPr>
            <b/>
            <sz val="9"/>
            <color indexed="81"/>
            <rFont val="Tahoma"/>
            <family val="2"/>
          </rPr>
          <t>Robert Wienke:</t>
        </r>
        <r>
          <rPr>
            <sz val="9"/>
            <color indexed="81"/>
            <rFont val="Tahoma"/>
            <family val="2"/>
          </rPr>
          <t xml:space="preserve">
Wienke</t>
        </r>
      </text>
    </comment>
    <comment ref="M14" authorId="0">
      <text>
        <r>
          <rPr>
            <b/>
            <sz val="9"/>
            <color indexed="81"/>
            <rFont val="Tahoma"/>
            <family val="2"/>
          </rPr>
          <t>Robert Wienke:</t>
        </r>
        <r>
          <rPr>
            <sz val="9"/>
            <color indexed="81"/>
            <rFont val="Tahoma"/>
            <family val="2"/>
          </rPr>
          <t xml:space="preserve">
Juran</t>
        </r>
      </text>
    </comment>
  </commentList>
</comments>
</file>

<file path=xl/sharedStrings.xml><?xml version="1.0" encoding="utf-8"?>
<sst xmlns="http://schemas.openxmlformats.org/spreadsheetml/2006/main" count="684" uniqueCount="132">
  <si>
    <t>Corner Bistro</t>
  </si>
  <si>
    <t>http://www.straphangers.org/statesub05/chart2.pdf</t>
  </si>
  <si>
    <t>SubWay Times</t>
  </si>
  <si>
    <t>Address</t>
  </si>
  <si>
    <t>Price</t>
  </si>
  <si>
    <t>Burger Name</t>
  </si>
  <si>
    <t>Restaurant</t>
  </si>
  <si>
    <t>Zagat</t>
  </si>
  <si>
    <t>Urbanspoon</t>
  </si>
  <si>
    <t>11 Madison Ave</t>
  </si>
  <si>
    <t>119 W 56th St</t>
  </si>
  <si>
    <t>1291 3rd Ave</t>
  </si>
  <si>
    <t>Burger Joint at Le Parker Meridien</t>
  </si>
  <si>
    <t>Rare Bar &amp; Grill</t>
  </si>
  <si>
    <t xml:space="preserve">J.G. Melon </t>
  </si>
  <si>
    <t xml:space="preserve">Five Napkin Burger </t>
  </si>
  <si>
    <t>630 9th Avenue</t>
  </si>
  <si>
    <t>113 MacDougal Street</t>
  </si>
  <si>
    <t>1 West 3rd Street</t>
  </si>
  <si>
    <t>AVERAGE</t>
  </si>
  <si>
    <t>331 West 4th Street</t>
  </si>
  <si>
    <t>Rating</t>
  </si>
  <si>
    <t>Avg. Wait</t>
  </si>
  <si>
    <t>WALKING</t>
  </si>
  <si>
    <t xml:space="preserve">SUBWAY </t>
  </si>
  <si>
    <t>TAXI</t>
  </si>
  <si>
    <t>CAR</t>
  </si>
  <si>
    <t>TRANSIT</t>
  </si>
  <si>
    <t>303 Lexington Ave</t>
  </si>
  <si>
    <t>Dist</t>
  </si>
  <si>
    <t>Trains</t>
  </si>
  <si>
    <t>Dist.</t>
  </si>
  <si>
    <t xml:space="preserve">Base Transit Times </t>
  </si>
  <si>
    <t>Starting Point (NYU Stern)</t>
  </si>
  <si>
    <t>44 W 4th St</t>
  </si>
  <si>
    <t>Constraints:</t>
  </si>
  <si>
    <t>Objective function:</t>
  </si>
  <si>
    <t>Utility ($) = [satisfaction from burgers] - [burger price] - [cost of transit+waiting]</t>
  </si>
  <si>
    <t>Decision variable:</t>
  </si>
  <si>
    <t>Hit [x] unique burger joints</t>
  </si>
  <si>
    <t xml:space="preserve">  *requires dollar value assigned to time and to quality of burger (representing satisfaction)</t>
  </si>
  <si>
    <t>Which [x] restaurants to visit (I don't think we need to try to get the model to sequence them--we can eyeball it)</t>
  </si>
  <si>
    <t>Sum</t>
  </si>
  <si>
    <t>Burgers Needed</t>
  </si>
  <si>
    <t>&lt;=</t>
  </si>
  <si>
    <t>=</t>
  </si>
  <si>
    <t>$ / Hour</t>
  </si>
  <si>
    <t>To</t>
  </si>
  <si>
    <t>Time</t>
  </si>
  <si>
    <t>Switch</t>
  </si>
  <si>
    <t>Travel Cost</t>
  </si>
  <si>
    <t>Burger Cost</t>
  </si>
  <si>
    <t>Burger Benefit</t>
  </si>
  <si>
    <t>Value of Burger</t>
  </si>
  <si>
    <t xml:space="preserve">Each Additional </t>
  </si>
  <si>
    <t>Total Utility</t>
  </si>
  <si>
    <t>Start</t>
  </si>
  <si>
    <t xml:space="preserve">Shake Shack </t>
  </si>
  <si>
    <t>Paul's "Da Burger Joint"</t>
  </si>
  <si>
    <t>Blt Burger</t>
  </si>
  <si>
    <t>Minetta Tavern</t>
  </si>
  <si>
    <t>West 3rd Common</t>
  </si>
  <si>
    <t>DB Bistro Moderne</t>
  </si>
  <si>
    <t>Double Shack Burger</t>
  </si>
  <si>
    <t>Bistro Burger</t>
  </si>
  <si>
    <t>Cheeseburger with "The Works"</t>
  </si>
  <si>
    <t>Eastsider Burger</t>
  </si>
  <si>
    <t>BLT</t>
  </si>
  <si>
    <t>Black Label Burger</t>
  </si>
  <si>
    <t>M&amp;M Burger</t>
  </si>
  <si>
    <t>The Original Five Napkin Burger</t>
  </si>
  <si>
    <t>Bacon Cheeseburger</t>
  </si>
  <si>
    <t>The Common Burger</t>
  </si>
  <si>
    <t>db BURGER</t>
  </si>
  <si>
    <t>131 2nd Ave</t>
  </si>
  <si>
    <t>470 Avenue of the Americas</t>
  </si>
  <si>
    <t>55 West 44th Street</t>
  </si>
  <si>
    <t>Avg Visit (Wait + Eating)</t>
  </si>
  <si>
    <t>Base</t>
  </si>
  <si>
    <t>NY Magazine</t>
  </si>
  <si>
    <t>Time Out New York</t>
  </si>
  <si>
    <t>Rob/Matt/Nick/Juran</t>
  </si>
  <si>
    <t>Total Score</t>
  </si>
  <si>
    <t>Avg. Wait + Eat</t>
  </si>
  <si>
    <t>Central Park</t>
  </si>
  <si>
    <t>Stern</t>
  </si>
  <si>
    <t>Wall Street</t>
  </si>
  <si>
    <t>Transit Info</t>
  </si>
  <si>
    <t>Train Frequency</t>
  </si>
  <si>
    <t>Min</t>
  </si>
  <si>
    <t>Peak</t>
  </si>
  <si>
    <t>Off-Peak</t>
  </si>
  <si>
    <t>Taxi Wait</t>
  </si>
  <si>
    <t>Number of Trains</t>
  </si>
  <si>
    <t>Distance</t>
  </si>
  <si>
    <t>Cost of Cab</t>
  </si>
  <si>
    <t>mile</t>
  </si>
  <si>
    <t>Initial</t>
  </si>
  <si>
    <t>Taxi Charge</t>
  </si>
  <si>
    <t>Off Peak</t>
  </si>
  <si>
    <t>End</t>
  </si>
  <si>
    <t>Start / End</t>
  </si>
  <si>
    <t>SUBWAY</t>
  </si>
  <si>
    <t>Cost</t>
  </si>
  <si>
    <t>Type of Transit</t>
  </si>
  <si>
    <t>Time:Travel</t>
  </si>
  <si>
    <t>Time: Restaurant</t>
  </si>
  <si>
    <t>Total Time</t>
  </si>
  <si>
    <t>Total Time (hrs)</t>
  </si>
  <si>
    <t>Restaurants</t>
  </si>
  <si>
    <t>OK to Attend?</t>
  </si>
  <si>
    <t>√</t>
  </si>
  <si>
    <t>Number of Burgers</t>
  </si>
  <si>
    <t>INPUT</t>
  </si>
  <si>
    <t>OUTPUT</t>
  </si>
  <si>
    <t>Starting Location</t>
  </si>
  <si>
    <t>Ending Location</t>
  </si>
  <si>
    <t>Transit to Next Location</t>
  </si>
  <si>
    <t>Proprietary Utility Maximization</t>
  </si>
  <si>
    <t>Estimate Travel Cost</t>
  </si>
  <si>
    <t>Total Time (Min)</t>
  </si>
  <si>
    <t>Transit Time (Min)</t>
  </si>
  <si>
    <t>Waiting &amp; Eating Time (Min)</t>
  </si>
  <si>
    <t>Total Time (Hrs)</t>
  </si>
  <si>
    <t>BURGER OPTIMIZATION</t>
  </si>
  <si>
    <t>Peak √ / Off Peak</t>
  </si>
  <si>
    <t>IF TAXI</t>
  </si>
  <si>
    <t>IF SUBWAY</t>
  </si>
  <si>
    <t>Location</t>
  </si>
  <si>
    <t>Start:</t>
  </si>
  <si>
    <t>End:</t>
  </si>
  <si>
    <t>* Source of Data is Google Maps</t>
  </si>
</sst>
</file>

<file path=xl/styles.xml><?xml version="1.0" encoding="utf-8"?>
<styleSheet xmlns="http://schemas.openxmlformats.org/spreadsheetml/2006/main">
  <numFmts count="3">
    <numFmt numFmtId="44" formatCode="_(&quot;$&quot;* #,##0.00_);_(&quot;$&quot;* \(#,##0.00\);_(&quot;$&quot;* &quot;-&quot;??_);_(@_)"/>
    <numFmt numFmtId="164" formatCode="0.000"/>
    <numFmt numFmtId="165" formatCode="h:mm;@"/>
  </numFmts>
  <fonts count="17">
    <font>
      <sz val="11"/>
      <color theme="1"/>
      <name val="Calibri"/>
      <family val="2"/>
      <scheme val="minor"/>
    </font>
    <font>
      <sz val="11"/>
      <color indexed="8"/>
      <name val="Calibri"/>
      <family val="2"/>
    </font>
    <font>
      <b/>
      <sz val="11"/>
      <color indexed="8"/>
      <name val="Calibri"/>
      <family val="2"/>
    </font>
    <font>
      <sz val="11"/>
      <color indexed="8"/>
      <name val="Calibri"/>
      <family val="2"/>
    </font>
    <font>
      <u/>
      <sz val="11"/>
      <color indexed="8"/>
      <name val="Calibri"/>
      <family val="2"/>
    </font>
    <font>
      <sz val="8"/>
      <name val="Calibri"/>
      <family val="2"/>
    </font>
    <font>
      <sz val="11"/>
      <color indexed="10"/>
      <name val="Calibri"/>
      <family val="2"/>
    </font>
    <font>
      <b/>
      <sz val="9"/>
      <color indexed="81"/>
      <name val="Tahoma"/>
      <family val="2"/>
    </font>
    <font>
      <sz val="9"/>
      <color indexed="81"/>
      <name val="Tahoma"/>
      <family val="2"/>
    </font>
    <font>
      <b/>
      <sz val="11"/>
      <color indexed="8"/>
      <name val="Calibri"/>
      <family val="2"/>
    </font>
    <font>
      <sz val="11"/>
      <color indexed="8"/>
      <name val="Arial"/>
      <family val="2"/>
    </font>
    <font>
      <b/>
      <sz val="16"/>
      <color indexed="8"/>
      <name val="Calibri"/>
      <family val="2"/>
    </font>
    <font>
      <b/>
      <sz val="11"/>
      <color indexed="9"/>
      <name val="Calibri"/>
      <family val="2"/>
    </font>
    <font>
      <sz val="11"/>
      <color indexed="9"/>
      <name val="Calibri"/>
      <family val="2"/>
    </font>
    <font>
      <u/>
      <sz val="11"/>
      <color theme="10"/>
      <name val="Calibri"/>
      <family val="2"/>
    </font>
    <font>
      <i/>
      <sz val="9"/>
      <color indexed="81"/>
      <name val="Tahoma"/>
      <family val="2"/>
    </font>
    <font>
      <i/>
      <sz val="11"/>
      <color rgb="FFFF0000"/>
      <name val="Calibri"/>
      <family val="2"/>
      <scheme val="minor"/>
    </font>
  </fonts>
  <fills count="8">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9"/>
        <bgColor indexed="64"/>
      </patternFill>
    </fill>
    <fill>
      <patternFill patternType="solid">
        <fgColor indexed="43"/>
        <bgColor indexed="64"/>
      </patternFill>
    </fill>
  </fills>
  <borders count="9">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ck">
        <color indexed="30"/>
      </left>
      <right style="thick">
        <color indexed="30"/>
      </right>
      <top style="thick">
        <color indexed="30"/>
      </top>
      <bottom/>
      <diagonal/>
    </border>
    <border>
      <left style="thick">
        <color indexed="30"/>
      </left>
      <right style="thick">
        <color indexed="30"/>
      </right>
      <top/>
      <bottom/>
      <diagonal/>
    </border>
    <border>
      <left style="thick">
        <color indexed="30"/>
      </left>
      <right style="thick">
        <color indexed="30"/>
      </right>
      <top/>
      <bottom style="thick">
        <color indexed="3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3" fillId="0" borderId="0" applyFont="0" applyFill="0" applyBorder="0" applyAlignment="0" applyProtection="0"/>
    <xf numFmtId="0" fontId="14" fillId="0" borderId="0" applyNumberFormat="0" applyFill="0" applyBorder="0" applyAlignment="0" applyProtection="0">
      <alignment vertical="top"/>
      <protection locked="0"/>
    </xf>
    <xf numFmtId="9" fontId="3" fillId="0" borderId="0" applyFont="0" applyFill="0" applyBorder="0" applyAlignment="0" applyProtection="0"/>
  </cellStyleXfs>
  <cellXfs count="73">
    <xf numFmtId="0" fontId="0" fillId="0" borderId="0" xfId="0"/>
    <xf numFmtId="0" fontId="14" fillId="0" borderId="0" xfId="2" applyAlignment="1" applyProtection="1"/>
    <xf numFmtId="0" fontId="2" fillId="0" borderId="0" xfId="0" applyFont="1"/>
    <xf numFmtId="0" fontId="0" fillId="0" borderId="0" xfId="0" applyAlignment="1">
      <alignment wrapText="1"/>
    </xf>
    <xf numFmtId="9" fontId="0" fillId="0" borderId="0" xfId="0" applyNumberFormat="1"/>
    <xf numFmtId="0" fontId="0" fillId="0" borderId="0" xfId="0" applyNumberFormat="1"/>
    <xf numFmtId="0" fontId="0" fillId="0" borderId="0" xfId="0" applyAlignment="1">
      <alignment horizontal="left"/>
    </xf>
    <xf numFmtId="9" fontId="0" fillId="0" borderId="0" xfId="3" applyFont="1"/>
    <xf numFmtId="0" fontId="0" fillId="0" borderId="1" xfId="0" applyBorder="1"/>
    <xf numFmtId="0" fontId="0" fillId="0" borderId="0" xfId="0" applyBorder="1"/>
    <xf numFmtId="0" fontId="0" fillId="0" borderId="0" xfId="0" applyNumberFormat="1" applyBorder="1"/>
    <xf numFmtId="9" fontId="0" fillId="0" borderId="0" xfId="0" applyNumberFormat="1" applyBorder="1"/>
    <xf numFmtId="0" fontId="0" fillId="0" borderId="0" xfId="0" applyFont="1"/>
    <xf numFmtId="44" fontId="0" fillId="0" borderId="0" xfId="1" applyFont="1"/>
    <xf numFmtId="0" fontId="2" fillId="0" borderId="0" xfId="0" applyFont="1" applyAlignment="1">
      <alignment horizontal="center"/>
    </xf>
    <xf numFmtId="9" fontId="0" fillId="0" borderId="0" xfId="0" applyNumberFormat="1" applyAlignment="1">
      <alignment horizontal="center"/>
    </xf>
    <xf numFmtId="0" fontId="0" fillId="2" borderId="0" xfId="0" applyFill="1"/>
    <xf numFmtId="0" fontId="0" fillId="0" borderId="0" xfId="0" applyAlignment="1">
      <alignment horizontal="center"/>
    </xf>
    <xf numFmtId="0" fontId="0" fillId="0" borderId="2" xfId="0" applyBorder="1"/>
    <xf numFmtId="0" fontId="0" fillId="0" borderId="3" xfId="0" applyBorder="1"/>
    <xf numFmtId="0" fontId="0" fillId="3" borderId="0" xfId="0" applyFill="1"/>
    <xf numFmtId="0" fontId="0" fillId="3" borderId="0" xfId="0" applyFill="1" applyBorder="1"/>
    <xf numFmtId="0" fontId="0" fillId="0" borderId="0" xfId="0" applyFill="1" applyBorder="1"/>
    <xf numFmtId="0" fontId="4" fillId="0" borderId="0" xfId="0" applyFont="1"/>
    <xf numFmtId="0" fontId="0" fillId="0" borderId="4" xfId="0" applyBorder="1"/>
    <xf numFmtId="0" fontId="0" fillId="0" borderId="5" xfId="0" applyBorder="1"/>
    <xf numFmtId="0" fontId="0" fillId="0" borderId="6" xfId="0" applyBorder="1"/>
    <xf numFmtId="0" fontId="2" fillId="0" borderId="0" xfId="0" applyFont="1" applyBorder="1"/>
    <xf numFmtId="9" fontId="2" fillId="0" borderId="0" xfId="3" applyFont="1"/>
    <xf numFmtId="44" fontId="2" fillId="0" borderId="0" xfId="0" applyNumberFormat="1" applyFont="1"/>
    <xf numFmtId="49" fontId="0" fillId="0" borderId="0" xfId="0" applyNumberFormat="1"/>
    <xf numFmtId="0" fontId="0" fillId="0" borderId="1" xfId="0" applyBorder="1" applyAlignment="1">
      <alignment horizontal="center" wrapText="1"/>
    </xf>
    <xf numFmtId="164" fontId="0" fillId="0" borderId="7" xfId="3" applyNumberFormat="1" applyFont="1" applyBorder="1" applyAlignment="1">
      <alignment horizontal="center"/>
    </xf>
    <xf numFmtId="164" fontId="0" fillId="0" borderId="8" xfId="0" applyNumberFormat="1" applyBorder="1"/>
    <xf numFmtId="0" fontId="0" fillId="0" borderId="1" xfId="0" applyBorder="1" applyAlignment="1">
      <alignment wrapText="1"/>
    </xf>
    <xf numFmtId="0" fontId="0" fillId="0" borderId="0" xfId="0" applyFill="1" applyBorder="1" applyAlignment="1">
      <alignment horizontal="center" wrapText="1"/>
    </xf>
    <xf numFmtId="9" fontId="0" fillId="0" borderId="0" xfId="3" applyFont="1" applyAlignment="1">
      <alignment horizontal="center"/>
    </xf>
    <xf numFmtId="0" fontId="0" fillId="2" borderId="0" xfId="0" applyFill="1" applyAlignment="1">
      <alignment horizontal="center"/>
    </xf>
    <xf numFmtId="9" fontId="0" fillId="0" borderId="0" xfId="0" applyNumberFormat="1" applyBorder="1" applyAlignment="1">
      <alignment horizontal="center"/>
    </xf>
    <xf numFmtId="0" fontId="0" fillId="0" borderId="2" xfId="0" applyFill="1" applyBorder="1"/>
    <xf numFmtId="0" fontId="0" fillId="0" borderId="3" xfId="0" applyFill="1" applyBorder="1"/>
    <xf numFmtId="0" fontId="0" fillId="0" borderId="0" xfId="0" applyFill="1"/>
    <xf numFmtId="0" fontId="6" fillId="0" borderId="2" xfId="0" applyFont="1" applyFill="1" applyBorder="1"/>
    <xf numFmtId="0" fontId="2" fillId="0" borderId="0" xfId="0" applyFont="1" applyFill="1" applyAlignment="1">
      <alignment horizontal="center"/>
    </xf>
    <xf numFmtId="2" fontId="0" fillId="0" borderId="0" xfId="0" applyNumberFormat="1" applyFill="1"/>
    <xf numFmtId="0" fontId="0" fillId="4" borderId="0" xfId="0" applyFill="1"/>
    <xf numFmtId="0" fontId="0" fillId="0" borderId="0" xfId="0" applyBorder="1" applyAlignment="1">
      <alignment horizontal="center"/>
    </xf>
    <xf numFmtId="0" fontId="0" fillId="4" borderId="0" xfId="0" applyFill="1" applyBorder="1"/>
    <xf numFmtId="0" fontId="6" fillId="0" borderId="0" xfId="0" applyFont="1" applyBorder="1" applyAlignment="1">
      <alignment horizontal="right"/>
    </xf>
    <xf numFmtId="2" fontId="0" fillId="0" borderId="0" xfId="0" applyNumberFormat="1"/>
    <xf numFmtId="0" fontId="9" fillId="0" borderId="0" xfId="0" applyFont="1"/>
    <xf numFmtId="2" fontId="9" fillId="0" borderId="0" xfId="0" applyNumberFormat="1" applyFont="1"/>
    <xf numFmtId="0" fontId="10" fillId="0" borderId="0" xfId="0" applyFont="1"/>
    <xf numFmtId="0" fontId="0" fillId="5" borderId="0" xfId="0" applyFill="1"/>
    <xf numFmtId="0" fontId="11" fillId="6" borderId="0" xfId="0" applyFont="1" applyFill="1"/>
    <xf numFmtId="0" fontId="0" fillId="6" borderId="0" xfId="0" applyFill="1"/>
    <xf numFmtId="0" fontId="2" fillId="6" borderId="0" xfId="0" applyFont="1" applyFill="1"/>
    <xf numFmtId="0" fontId="2" fillId="6" borderId="0" xfId="0" applyFont="1" applyFill="1" applyAlignment="1">
      <alignment wrapText="1"/>
    </xf>
    <xf numFmtId="0" fontId="0" fillId="6" borderId="0" xfId="0" applyFont="1" applyFill="1"/>
    <xf numFmtId="44" fontId="0" fillId="6" borderId="0" xfId="1" applyFont="1" applyFill="1"/>
    <xf numFmtId="0" fontId="0" fillId="7" borderId="0" xfId="0" applyFill="1"/>
    <xf numFmtId="0" fontId="10" fillId="7" borderId="0" xfId="0" applyFont="1" applyFill="1"/>
    <xf numFmtId="1" fontId="0" fillId="6" borderId="0" xfId="0" applyNumberFormat="1" applyFill="1"/>
    <xf numFmtId="0" fontId="1" fillId="6" borderId="0" xfId="0" applyFont="1" applyFill="1"/>
    <xf numFmtId="0" fontId="1" fillId="6" borderId="0" xfId="0" applyFont="1" applyFill="1" applyAlignment="1">
      <alignment wrapText="1"/>
    </xf>
    <xf numFmtId="0" fontId="2" fillId="6" borderId="0" xfId="0" applyFont="1" applyFill="1" applyAlignment="1">
      <alignment horizontal="right"/>
    </xf>
    <xf numFmtId="1" fontId="1" fillId="6" borderId="0" xfId="0" applyNumberFormat="1" applyFont="1" applyFill="1" applyAlignment="1">
      <alignment wrapText="1"/>
    </xf>
    <xf numFmtId="0" fontId="12" fillId="6" borderId="0" xfId="0" applyFont="1" applyFill="1"/>
    <xf numFmtId="39" fontId="12" fillId="6" borderId="0" xfId="0" applyNumberFormat="1" applyFont="1" applyFill="1"/>
    <xf numFmtId="0" fontId="13" fillId="6" borderId="0" xfId="0" applyFont="1" applyFill="1"/>
    <xf numFmtId="0" fontId="0" fillId="6" borderId="0" xfId="0" applyFill="1" applyAlignment="1">
      <alignment horizontal="right"/>
    </xf>
    <xf numFmtId="165" fontId="0" fillId="6" borderId="0" xfId="0" applyNumberFormat="1" applyFill="1"/>
    <xf numFmtId="0" fontId="16" fillId="0" borderId="0" xfId="0" applyFont="1"/>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762000</xdr:colOff>
      <xdr:row>49</xdr:row>
      <xdr:rowOff>9525</xdr:rowOff>
    </xdr:from>
    <xdr:to>
      <xdr:col>7</xdr:col>
      <xdr:colOff>781050</xdr:colOff>
      <xdr:row>60</xdr:row>
      <xdr:rowOff>28575</xdr:rowOff>
    </xdr:to>
    <xdr:pic>
      <xdr:nvPicPr>
        <xdr:cNvPr id="30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933825" y="9344025"/>
          <a:ext cx="3409950" cy="2114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228600</xdr:colOff>
      <xdr:row>46</xdr:row>
      <xdr:rowOff>76200</xdr:rowOff>
    </xdr:from>
    <xdr:to>
      <xdr:col>8</xdr:col>
      <xdr:colOff>247650</xdr:colOff>
      <xdr:row>57</xdr:row>
      <xdr:rowOff>95250</xdr:rowOff>
    </xdr:to>
    <xdr:pic>
      <xdr:nvPicPr>
        <xdr:cNvPr id="409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4248150" y="8839200"/>
          <a:ext cx="3409950" cy="21145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straphangers.org/statesub05/chart2.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straphangers.org/statesub05/chart2.pdf" TargetMode="External"/></Relationships>
</file>

<file path=xl/worksheets/sheet1.xml><?xml version="1.0" encoding="utf-8"?>
<worksheet xmlns="http://schemas.openxmlformats.org/spreadsheetml/2006/main" xmlns:r="http://schemas.openxmlformats.org/officeDocument/2006/relationships">
  <sheetPr codeName="Sheet1"/>
  <dimension ref="A1:AZ84"/>
  <sheetViews>
    <sheetView tabSelected="1" workbookViewId="0"/>
  </sheetViews>
  <sheetFormatPr defaultRowHeight="15"/>
  <cols>
    <col min="2" max="2" width="31.5703125" bestFit="1" customWidth="1"/>
    <col min="3" max="3" width="11.7109375" bestFit="1" customWidth="1"/>
    <col min="6" max="6" width="33.85546875" bestFit="1" customWidth="1"/>
    <col min="7" max="7" width="8.42578125" bestFit="1" customWidth="1"/>
    <col min="8" max="8" width="9.42578125" bestFit="1" customWidth="1"/>
    <col min="9" max="9" width="9.42578125" customWidth="1"/>
    <col min="11" max="11" width="8.7109375" bestFit="1" customWidth="1"/>
    <col min="29" max="29" width="31.5703125" bestFit="1" customWidth="1"/>
    <col min="35" max="35" width="31.5703125" bestFit="1" customWidth="1"/>
    <col min="36" max="36" width="11.85546875" bestFit="1" customWidth="1"/>
    <col min="41" max="42" width="31.5703125" bestFit="1" customWidth="1"/>
    <col min="43" max="43" width="10.7109375" bestFit="1" customWidth="1"/>
    <col min="44" max="44" width="14.140625" bestFit="1" customWidth="1"/>
    <col min="45" max="45" width="14" bestFit="1" customWidth="1"/>
    <col min="46" max="46" width="14.140625" bestFit="1" customWidth="1"/>
    <col min="47" max="47" width="11.42578125" bestFit="1" customWidth="1"/>
    <col min="48" max="48" width="16.140625" bestFit="1" customWidth="1"/>
  </cols>
  <sheetData>
    <row r="1" spans="1:52">
      <c r="A1" s="53"/>
      <c r="B1" s="53"/>
      <c r="C1" s="53"/>
      <c r="D1" s="53"/>
      <c r="E1" s="53"/>
      <c r="F1" s="53"/>
      <c r="G1" s="53"/>
      <c r="H1" s="53"/>
      <c r="I1" s="53"/>
      <c r="J1" s="53"/>
      <c r="K1" s="53"/>
      <c r="L1" s="53"/>
      <c r="M1" s="53"/>
      <c r="N1" s="53"/>
      <c r="O1" s="53"/>
      <c r="P1" s="53"/>
    </row>
    <row r="2" spans="1:52" ht="21.75" thickBot="1">
      <c r="A2" s="53"/>
      <c r="B2" s="54" t="s">
        <v>124</v>
      </c>
      <c r="C2" s="55"/>
      <c r="D2" s="53"/>
      <c r="E2" s="55"/>
      <c r="F2" s="55"/>
      <c r="G2" s="55"/>
      <c r="H2" s="55"/>
      <c r="I2" s="55"/>
      <c r="J2" s="55"/>
      <c r="K2" s="55"/>
      <c r="L2" s="53"/>
      <c r="M2" s="53"/>
      <c r="N2" s="53"/>
      <c r="O2" s="53"/>
      <c r="P2" s="53"/>
      <c r="AC2" s="2" t="str">
        <f>Restaurants!B4</f>
        <v>Restaurant</v>
      </c>
      <c r="AI2">
        <v>1</v>
      </c>
      <c r="AO2" t="s">
        <v>101</v>
      </c>
      <c r="AQ2" t="s">
        <v>103</v>
      </c>
      <c r="AR2" t="s">
        <v>104</v>
      </c>
      <c r="AS2" t="s">
        <v>48</v>
      </c>
    </row>
    <row r="3" spans="1:52" ht="15.75" thickTop="1">
      <c r="A3" s="53"/>
      <c r="B3" s="56"/>
      <c r="C3" s="55"/>
      <c r="D3" s="53"/>
      <c r="E3" s="55"/>
      <c r="F3" s="55"/>
      <c r="G3" s="55"/>
      <c r="H3" s="55"/>
      <c r="I3" s="55"/>
      <c r="J3" s="55"/>
      <c r="K3" s="55"/>
      <c r="L3" s="53"/>
      <c r="M3" s="53"/>
      <c r="N3" s="53"/>
      <c r="O3" s="53"/>
      <c r="P3" s="53"/>
      <c r="AC3" s="12" t="s">
        <v>57</v>
      </c>
      <c r="AD3" s="9">
        <f>SUM(AJ3,AJ17,AJ31,AJ45,AJ59,AJ73)</f>
        <v>0</v>
      </c>
      <c r="AE3" t="s">
        <v>44</v>
      </c>
      <c r="AF3">
        <f>IF(C7="√",1,0)</f>
        <v>1</v>
      </c>
      <c r="AH3">
        <f t="shared" ref="AH3:AH13" si="0">AJ3</f>
        <v>0</v>
      </c>
      <c r="AI3" s="12" t="s">
        <v>57</v>
      </c>
      <c r="AJ3" s="24">
        <v>0</v>
      </c>
      <c r="AK3" t="s">
        <v>44</v>
      </c>
      <c r="AL3">
        <v>1</v>
      </c>
      <c r="AM3">
        <v>0</v>
      </c>
      <c r="AO3" t="str">
        <f>AD25</f>
        <v>Wall Street</v>
      </c>
      <c r="AP3" t="str">
        <f>AO6</f>
        <v>Corner Bistro</v>
      </c>
      <c r="AQ3">
        <f>MIN(VLOOKUP(AP3,'Starting Points'!$B$2:$E$13,MATCH(AO3,'Starting Points'!$B$2:$E$2,0),FALSE),VLOOKUP(AP3,'Starting Points'!$B$16:$E$26,MATCH(AO3,'Starting Points'!$B$15:$E$15,0),FALSE),VLOOKUP(AP3,'Starting Points'!$B$29:$E$39,MATCH(AO3,'Starting Points'!$B$15:$E$15,0),FALSE))</f>
        <v>12.065</v>
      </c>
      <c r="AR3" t="str">
        <f>IF(AQ3=VLOOKUP(AP3,'Starting Points'!$B$2:$E$13,MATCH(AO3,'Starting Points'!$B$2:$E$2,0),FALSE),"WALKING",IF(AQ3=VLOOKUP(AP3,'Starting Points'!$B$15:$E$26,MATCH(AO3,'Starting Points'!$B$2:$E$2,0),FALSE),"SUBWAY","TAXI"))</f>
        <v>SUBWAY</v>
      </c>
      <c r="AS3">
        <f>IF(AR3="WALKING",VLOOKUP(AP3,'Starting Points'!$H$2:$M$13,MATCH(AO3,'Starting Points'!$H$2:$M$2,0),FALSE),IF(AR3="SUBWAY",VLOOKUP(AP3,'Starting Points'!$H$15:$M$26,MATCH(AO3,'Starting Points'!$H$2:$M$2,0),FALSE),VLOOKUP(AP3,'Starting Points'!$H$28:$M$39,MATCH(AO3,'Starting Points'!$H$2:$M$2,0),FALSE)))+AY3+AZ3</f>
        <v>18.065000000000001</v>
      </c>
      <c r="AY3">
        <f>IF(AR3="TAXI",IF($AD$23=1,costs!$C$55/60*$AD$17,costs!$C$56/60*$AD$17),0)</f>
        <v>0</v>
      </c>
      <c r="AZ3">
        <f>IF(AR3="SUBWAY",VLOOKUP(AP3,'Starting Points'!$H$15:$N$26,MATCH(AO3,'Starting Points'!$H$15:$N$15,0)+1,FALSE)*IF($AD$23=1,costs!$C$51/60*$AD$17,costs!$C$52/60*$AD$17),0)</f>
        <v>2.0649999999999999</v>
      </c>
    </row>
    <row r="4" spans="1:52">
      <c r="A4" s="53"/>
      <c r="B4" s="56"/>
      <c r="C4" s="55"/>
      <c r="D4" s="53"/>
      <c r="E4" s="55"/>
      <c r="F4" s="55"/>
      <c r="G4" s="55"/>
      <c r="H4" s="55"/>
      <c r="I4" s="55"/>
      <c r="J4" s="55"/>
      <c r="K4" s="55"/>
      <c r="L4" s="53"/>
      <c r="M4" s="53"/>
      <c r="N4" s="53"/>
      <c r="O4" s="53"/>
      <c r="P4" s="53"/>
      <c r="AC4" s="12" t="s">
        <v>0</v>
      </c>
      <c r="AD4" s="9">
        <f t="shared" ref="AD4:AD13" si="1">SUM(AJ4,AJ18,AJ32,AJ46,AJ60,AJ74)</f>
        <v>1</v>
      </c>
      <c r="AE4" t="s">
        <v>44</v>
      </c>
      <c r="AF4">
        <f t="shared" ref="AF4:AF13" si="2">IF(C8="√",1,0)</f>
        <v>1</v>
      </c>
      <c r="AH4">
        <f t="shared" si="0"/>
        <v>1</v>
      </c>
      <c r="AI4" s="12" t="s">
        <v>0</v>
      </c>
      <c r="AJ4" s="25">
        <v>1</v>
      </c>
      <c r="AK4" t="s">
        <v>44</v>
      </c>
      <c r="AL4">
        <v>1</v>
      </c>
      <c r="AM4">
        <v>0</v>
      </c>
      <c r="AO4" t="str">
        <f>VLOOKUP(AD16,AN6:AO11,2,FALSE)</f>
        <v>West 3rd Common</v>
      </c>
      <c r="AP4" t="str">
        <f>AD26</f>
        <v>Stern</v>
      </c>
      <c r="AQ4">
        <f>MIN(VLOOKUP(AO4,'Starting Points'!$B$2:$E$13,MATCH(AP4,'Starting Points'!$B$2:$E$2,0),FALSE),VLOOKUP(AO4,'Starting Points'!$B$16:$E$26,MATCH(AP4,'Starting Points'!$B$15:$E$15,0),FALSE),VLOOKUP(AO4,'Starting Points'!$B$29:$E$39,MATCH(AP4,'Starting Points'!$B$15:$E$15,0),FALSE))</f>
        <v>1.5</v>
      </c>
      <c r="AR4" t="str">
        <f>IF(AQ4=VLOOKUP(AO4,'Starting Points'!$B$2:$E$13,MATCH(AP4,'Starting Points'!$B$2:$E$2,0),FALSE),"WALKING",IF(AQ4=VLOOKUP(AO4,'Starting Points'!$B$15:$E$26,MATCH(AP4,'Starting Points'!$B$2:$E$2,0),FALSE),"SUBWAY","TAXI"))</f>
        <v>WALKING</v>
      </c>
      <c r="AS4">
        <f>IF(AR4="WALKING",VLOOKUP(AO4,'Starting Points'!$H$2:$M$13,MATCH(AP4,'Starting Points'!$H$2:$M$2,0),FALSE),IF(AR4="SUBWAY",VLOOKUP(AO4,'Starting Points'!$H$15:$M$26,MATCH(AP4,'Starting Points'!$H$2:$M$2,0),FALSE),VLOOKUP(AO4,'Starting Points'!$H$28:$M$39,MATCH(AP4,'Starting Points'!$H$2:$M$2,0),FALSE)))+AY4+AZ4</f>
        <v>3</v>
      </c>
      <c r="AY4">
        <f>IF(AR4="TAXI",IF($AD$23=1,costs!$C$55/60*$AD$17,costs!$C$56/60*$AD$17),0)</f>
        <v>0</v>
      </c>
      <c r="AZ4">
        <f>IF(AR4="SUBWAY",VLOOKUP(AO4,'Starting Points'!$H$15:$N$26,MATCH(AP4,'Starting Points'!$H$15:$N$15,0)+1,FALSE)*IF($AD$23=1,costs!$C$51/60*$AD$17,costs!$C$52/60*$AD$17),0)</f>
        <v>0</v>
      </c>
    </row>
    <row r="5" spans="1:52">
      <c r="A5" s="53"/>
      <c r="B5" s="56" t="s">
        <v>113</v>
      </c>
      <c r="C5" s="55"/>
      <c r="D5" s="53"/>
      <c r="E5" s="55"/>
      <c r="F5" s="56" t="s">
        <v>114</v>
      </c>
      <c r="G5" s="55"/>
      <c r="H5" s="55"/>
      <c r="I5" s="55"/>
      <c r="J5" s="55"/>
      <c r="K5" s="55"/>
      <c r="L5" s="53"/>
      <c r="M5" s="53"/>
      <c r="N5" s="53"/>
      <c r="O5" s="53"/>
      <c r="P5" s="53"/>
      <c r="AC5" t="s">
        <v>12</v>
      </c>
      <c r="AD5" s="9">
        <f t="shared" si="1"/>
        <v>0</v>
      </c>
      <c r="AE5" t="s">
        <v>44</v>
      </c>
      <c r="AF5">
        <f t="shared" si="2"/>
        <v>1</v>
      </c>
      <c r="AH5">
        <f t="shared" si="0"/>
        <v>0</v>
      </c>
      <c r="AI5" t="s">
        <v>12</v>
      </c>
      <c r="AJ5" s="25">
        <v>0</v>
      </c>
      <c r="AK5" t="s">
        <v>44</v>
      </c>
      <c r="AL5">
        <v>1</v>
      </c>
      <c r="AM5">
        <v>0</v>
      </c>
      <c r="AO5" t="s">
        <v>49</v>
      </c>
      <c r="AP5" t="s">
        <v>47</v>
      </c>
      <c r="AQ5" t="s">
        <v>50</v>
      </c>
      <c r="AR5" t="s">
        <v>51</v>
      </c>
      <c r="AS5" t="s">
        <v>52</v>
      </c>
      <c r="AT5" t="s">
        <v>104</v>
      </c>
      <c r="AU5" t="s">
        <v>105</v>
      </c>
      <c r="AV5" t="s">
        <v>106</v>
      </c>
      <c r="AW5" t="s">
        <v>107</v>
      </c>
      <c r="AY5" t="s">
        <v>126</v>
      </c>
      <c r="AZ5" t="s">
        <v>127</v>
      </c>
    </row>
    <row r="6" spans="1:52" ht="60">
      <c r="A6" s="53"/>
      <c r="B6" s="56" t="s">
        <v>109</v>
      </c>
      <c r="C6" s="57" t="s">
        <v>110</v>
      </c>
      <c r="D6" s="53"/>
      <c r="E6" s="55"/>
      <c r="F6" s="56" t="s">
        <v>128</v>
      </c>
      <c r="G6" s="57" t="s">
        <v>122</v>
      </c>
      <c r="H6" s="57" t="s">
        <v>117</v>
      </c>
      <c r="I6" s="57" t="s">
        <v>121</v>
      </c>
      <c r="J6" s="57" t="s">
        <v>120</v>
      </c>
      <c r="K6" s="57" t="s">
        <v>119</v>
      </c>
      <c r="L6" s="53"/>
      <c r="M6" s="53"/>
      <c r="N6" s="53"/>
      <c r="O6" s="53"/>
      <c r="P6" s="53"/>
      <c r="AC6" t="s">
        <v>58</v>
      </c>
      <c r="AD6" s="9">
        <f t="shared" si="1"/>
        <v>1</v>
      </c>
      <c r="AE6" t="s">
        <v>44</v>
      </c>
      <c r="AF6">
        <f t="shared" si="2"/>
        <v>1</v>
      </c>
      <c r="AH6">
        <f t="shared" si="0"/>
        <v>0</v>
      </c>
      <c r="AI6" t="s">
        <v>58</v>
      </c>
      <c r="AJ6" s="25">
        <v>0</v>
      </c>
      <c r="AK6" t="s">
        <v>44</v>
      </c>
      <c r="AL6">
        <v>1</v>
      </c>
      <c r="AM6">
        <v>0</v>
      </c>
      <c r="AN6">
        <v>1</v>
      </c>
      <c r="AO6" t="str">
        <f>IF(ISNA(VLOOKUP(1,AH3:AI13,2,FALSE)),0,VLOOKUP(1,AH3:AI13,2,FALSE))</f>
        <v>Corner Bistro</v>
      </c>
      <c r="AP6" t="str">
        <f>IF(ISNA(VLOOKUP(1,AH17:AI27,2,FALSE)),0,VLOOKUP(1,AH17:AI27,2,FALSE))</f>
        <v>Paul's "Da Burger Joint"</v>
      </c>
      <c r="AQ6">
        <f>IF(ISNA(MIN(VLOOKUP(AO6,costs!$B$3:$M$14,MATCH(AP6,costs!$B$3:$M$3,0),FALSE),VLOOKUP(AO6,costs!$B$17:$M$28,MATCH(AP6,costs!$B$3:$M$3,0),FALSE),VLOOKUP(AO6,costs!$B$30:$M$41,MATCH(AP6,costs!$B$3:$M$3,0),FALSE))),0,MIN(VLOOKUP(AO6,costs!$B$3:$M$14,MATCH(AP6,costs!$B$3:$M$3,0),FALSE),VLOOKUP(AO6,costs!$B$17:$M$28,MATCH(AP6,costs!$B$3:$M$3,0),FALSE),VLOOKUP(AO6,costs!$B$30:$M$41,MATCH(AP6,costs!$B$3:$M$3,0),FALSE)))</f>
        <v>11</v>
      </c>
      <c r="AR6">
        <f>IF(ISNA(VLOOKUP(AO6,Summary!$B$3:$H$13,4,FALSE)),0,VLOOKUP(AO6,Summary!$B$3:$H$13,4,FALSE))</f>
        <v>6.75</v>
      </c>
      <c r="AS6">
        <f>IF(ISNA($AD$20*VLOOKUP(AO6,Summary!$B$3:$H$13,7,FALSE)*(1+$AD$21*AN5)-(VLOOKUP(AO6,Summary!$B$3:$G$13,6,FALSE)/60*$AD$17)),0,$AD$20*VLOOKUP(AO6,Summary!$B$3:$H$13,7,FALSE)*(1+$AD$21*AN5)-(VLOOKUP(AO6,Summary!$B$3:$G$13,6,FALSE)/60*$AD$17))</f>
        <v>16.850000000000001</v>
      </c>
      <c r="AT6" t="str">
        <f>IF(ISNA(IF(AQ6=VLOOKUP(AO6,costs!$B$3:$M$14,MATCH(AP6,costs!$B$3:$M$3,0),FALSE),"WALKING",IF(AQ6=VLOOKUP(AO6,costs!$B$17:$M$28,MATCH(AP6,costs!$B$3:$M$3,0),FALSE),"SUBWAY","TAXI"))),"",IF(AQ6=VLOOKUP(AO6,costs!$B$3:$M$14,MATCH(AP6,costs!$B$3:$M$3,0),FALSE),"WALKING",IF(AQ6=VLOOKUP(AO6,costs!$B$17:$M$28,MATCH(AP6,costs!$B$3:$M$3,0),FALSE),"SUBWAY","TAXI")))</f>
        <v>TAXI</v>
      </c>
      <c r="AU6">
        <f>IF(ISNA(IF(AT6="TAXI",VLOOKUP(AO6,'Time-Distance'!$B$31:$M$42,MATCH(AP6,'Time-Distance'!$B$31:$M$31,0),FALSE),IF(AT6="SUBWAY",VLOOKUP(AO6,'Time-Distance'!$B$17:$M$28,MATCH(AP6,'Time-Distance'!$B$31:$M$31,0),FALSE),VLOOKUP(AO6,'Time-Distance'!$B$3:$M$14,MATCH(AP6,'Time-Distance'!$B$31:$M$31,0),FALSE)))),0,IF(AT6="TAXI",VLOOKUP(AO6,'Time-Distance'!$B$31:$M$42,MATCH(AP6,'Time-Distance'!$B$31:$M$31,0),FALSE),IF(AT6="SUBWAY",VLOOKUP(AO6,'Time-Distance'!$B$17:$M$28,MATCH(AP6,'Time-Distance'!$B$31:$M$31,0),FALSE),VLOOKUP(AO6,'Time-Distance'!$B$3:$M$14,MATCH(AP6,'Time-Distance'!$B$31:$M$31,0),FALSE))))+AY6+AZ6</f>
        <v>8</v>
      </c>
      <c r="AV6">
        <f>IF(ISNA(VLOOKUP(AO6,Restaurants!$D$5:$H$15,5,FALSE)),0,VLOOKUP(AO6,Restaurants!$D$5:$H$15,5,FALSE))</f>
        <v>50</v>
      </c>
      <c r="AW6">
        <f t="shared" ref="AW6:AW11" si="3">AU6+AV6</f>
        <v>58</v>
      </c>
      <c r="AY6">
        <f>IF(AT6="TAXI",IF($AD$23=1,costs!$C$55/60*$AD$17,costs!$C$56/60*$AD$17),0)</f>
        <v>1</v>
      </c>
      <c r="AZ6">
        <f>IF(AT6="SUBWAY",VLOOKUP(AO6,'Time-Distance'!$O$17:$Z$28,MATCH(AP6,'Time-Distance'!$O$17:$Z$17,0),FALSE)*IF($AD$23=1,costs!$C$51/60*$AD$17,costs!$C$52/60*$AD$17),0)</f>
        <v>0</v>
      </c>
    </row>
    <row r="7" spans="1:52">
      <c r="A7" s="53"/>
      <c r="B7" s="58" t="s">
        <v>57</v>
      </c>
      <c r="C7" s="55" t="s">
        <v>111</v>
      </c>
      <c r="D7" s="53"/>
      <c r="E7" s="65" t="s">
        <v>129</v>
      </c>
      <c r="F7" s="63" t="str">
        <f>AO3</f>
        <v>Wall Street</v>
      </c>
      <c r="G7" s="57"/>
      <c r="H7" s="64" t="str">
        <f>AR3</f>
        <v>SUBWAY</v>
      </c>
      <c r="I7" s="66">
        <f>AS3</f>
        <v>18.065000000000001</v>
      </c>
      <c r="J7" s="62">
        <f t="shared" ref="J7:J13" si="4">IF(ISERROR(I7+G7),"",I7+G7)</f>
        <v>18.065000000000001</v>
      </c>
      <c r="K7" s="59">
        <f>Model!AQ3</f>
        <v>12.065</v>
      </c>
      <c r="L7" s="53"/>
      <c r="M7" s="53"/>
      <c r="N7" s="53"/>
      <c r="O7" s="53"/>
      <c r="P7" s="53"/>
      <c r="AC7" t="s">
        <v>59</v>
      </c>
      <c r="AD7" s="9">
        <f t="shared" si="1"/>
        <v>1</v>
      </c>
      <c r="AE7" t="s">
        <v>44</v>
      </c>
      <c r="AF7">
        <f t="shared" si="2"/>
        <v>1</v>
      </c>
      <c r="AH7">
        <f t="shared" si="0"/>
        <v>0</v>
      </c>
      <c r="AI7" t="s">
        <v>59</v>
      </c>
      <c r="AJ7" s="25">
        <v>0</v>
      </c>
      <c r="AK7" t="s">
        <v>44</v>
      </c>
      <c r="AL7">
        <v>1</v>
      </c>
      <c r="AM7">
        <v>0</v>
      </c>
      <c r="AN7">
        <v>2</v>
      </c>
      <c r="AO7" t="str">
        <f>AP6</f>
        <v>Paul's "Da Burger Joint"</v>
      </c>
      <c r="AP7" t="str">
        <f>IF(ISNA(VLOOKUP(1,AH31:AI41,2,FALSE)),0,VLOOKUP(1,AH31:AI41,2,FALSE))</f>
        <v>Blt Burger</v>
      </c>
      <c r="AQ7">
        <f>IF(ISNA(MIN(VLOOKUP(AO7,costs!$B$3:$M$14,MATCH(AP7,costs!$B$3:$M$3,0),FALSE),VLOOKUP(AO7,costs!$B$17:$M$28,MATCH(AP7,costs!$B$3:$M$3,0),FALSE),VLOOKUP(AO7,costs!$B$30:$M$41,MATCH(AP7,costs!$B$3:$M$3,0),FALSE))),0,MIN(VLOOKUP(AO7,costs!$B$3:$M$14,MATCH(AP7,costs!$B$3:$M$3,0),FALSE),VLOOKUP(AO7,costs!$B$17:$M$28,MATCH(AP7,costs!$B$3:$M$3,0),FALSE),VLOOKUP(AO7,costs!$B$30:$M$41,MATCH(AP7,costs!$B$3:$M$3,0),FALSE)))</f>
        <v>9</v>
      </c>
      <c r="AR7">
        <f>IF(ISNA(VLOOKUP(AO7,Summary!$B$3:$H$13,4,FALSE)),0,VLOOKUP(AO7,Summary!$B$3:$H$13,4,FALSE))</f>
        <v>10.45</v>
      </c>
      <c r="AS7">
        <f>IF(ISNA($AD$20*VLOOKUP(AO7,Summary!$B$3:$H$13,7,FALSE)*(1+$AD$21*AN6)-(VLOOKUP(AO7,Summary!$B$3:$G$13,6,FALSE)/60*$AD$17)),0,$AD$20*VLOOKUP(AO7,Summary!$B$3:$H$13,7,FALSE)*(1+$AD$21*AN6)-(VLOOKUP(AO7,Summary!$B$3:$G$13,6,FALSE)/60*$AD$17))</f>
        <v>20.7425</v>
      </c>
      <c r="AT7" t="str">
        <f>IF(ISNA(IF(AQ7=VLOOKUP(AO7,costs!$B$3:$M$14,MATCH(AP7,costs!$B$3:$M$3,0),FALSE),"WALKING",IF(AQ7=VLOOKUP(AO7,costs!$B$17:$M$28,MATCH(AP7,costs!$B$3:$M$3,0),FALSE),"SUBWAY","TAXI"))),"",IF(AQ7=VLOOKUP(AO7,costs!$B$3:$M$14,MATCH(AP7,costs!$B$3:$M$3,0),FALSE),"WALKING",IF(AQ7=VLOOKUP(AO7,costs!$B$17:$M$28,MATCH(AP7,costs!$B$3:$M$3,0),FALSE),"SUBWAY","TAXI")))</f>
        <v>WALKING</v>
      </c>
      <c r="AU7">
        <f>IF(ISNA(IF(AT7="TAXI",VLOOKUP(AO7,'Time-Distance'!$B$31:$M$42,MATCH(AP7,'Time-Distance'!$B$31:$M$31,0),FALSE),IF(AT7="SUBWAY",VLOOKUP(AO7,'Time-Distance'!$B$17:$M$28,MATCH(AP7,'Time-Distance'!$B$31:$M$31,0),FALSE),VLOOKUP(AO7,'Time-Distance'!$B$3:$M$14,MATCH(AP7,'Time-Distance'!$B$31:$M$31,0),FALSE)))),0,IF(AT7="TAXI",VLOOKUP(AO7,'Time-Distance'!$B$31:$M$42,MATCH(AP7,'Time-Distance'!$B$31:$M$31,0),FALSE),IF(AT7="SUBWAY",VLOOKUP(AO7,'Time-Distance'!$B$17:$M$28,MATCH(AP7,'Time-Distance'!$B$31:$M$31,0),FALSE),VLOOKUP(AO7,'Time-Distance'!$B$3:$M$14,MATCH(AP7,'Time-Distance'!$B$31:$M$31,0),FALSE))))+AY7+AZ7</f>
        <v>18</v>
      </c>
      <c r="AV7">
        <f>IF(ISNA(VLOOKUP(AO7,Restaurants!$D$5:$H$15,5,FALSE)),0,VLOOKUP(AO7,Restaurants!$D$5:$H$15,5,FALSE))</f>
        <v>30</v>
      </c>
      <c r="AW7">
        <f t="shared" si="3"/>
        <v>48</v>
      </c>
      <c r="AY7">
        <f>IF(AT7="TAXI",IF($AD$23=1,costs!$C$55/60*$AD$17,costs!$C$56/60*$AD$17),0)</f>
        <v>0</v>
      </c>
      <c r="AZ7">
        <f>IF(AT7="SUBWAY",VLOOKUP(AO7,'Time-Distance'!$O$17:$Z$28,MATCH(AP7,'Time-Distance'!$O$17:$Z$17,0),FALSE)*IF($AD$23=1,costs!$C$51/60*$AD$17,costs!$C$52/60*$AD$17),0)</f>
        <v>0</v>
      </c>
    </row>
    <row r="8" spans="1:52">
      <c r="A8" s="53"/>
      <c r="B8" s="58" t="s">
        <v>0</v>
      </c>
      <c r="C8" s="55" t="s">
        <v>111</v>
      </c>
      <c r="D8" s="53"/>
      <c r="E8" s="70" t="str">
        <f>IF(F8="","","1st")</f>
        <v>1st</v>
      </c>
      <c r="F8" s="55" t="str">
        <f>IF(Model!AO6=0,"",Model!AO6)</f>
        <v>Corner Bistro</v>
      </c>
      <c r="G8" s="55">
        <f>IF(Model!AV6=0,"",Model!AV6)</f>
        <v>50</v>
      </c>
      <c r="H8" s="55" t="str">
        <f>IF(F8="","",IF(Model!AT6="",$AR$4,Model!AT6))</f>
        <v>TAXI</v>
      </c>
      <c r="I8" s="62">
        <f>IF(F8="","",IF(IF(Model!AU6=0,"",Model!AU6)="",$I$14,IF(Model!AU6=0,"",Model!AU6)))</f>
        <v>8</v>
      </c>
      <c r="J8" s="62">
        <f t="shared" si="4"/>
        <v>58</v>
      </c>
      <c r="K8" s="59">
        <f>IF(F8="","",IF(IF(Model!AQ6=0,"",Model!AQ6)="",$K$14,IF(Model!AQ6=0,"",Model!AQ6)))</f>
        <v>11</v>
      </c>
      <c r="L8" s="53"/>
      <c r="M8" s="53"/>
      <c r="N8" s="53"/>
      <c r="O8" s="53"/>
      <c r="P8" s="53"/>
      <c r="AC8" t="s">
        <v>60</v>
      </c>
      <c r="AD8" s="9">
        <f t="shared" si="1"/>
        <v>0</v>
      </c>
      <c r="AE8" t="s">
        <v>44</v>
      </c>
      <c r="AF8">
        <f t="shared" si="2"/>
        <v>1</v>
      </c>
      <c r="AH8">
        <f t="shared" si="0"/>
        <v>0</v>
      </c>
      <c r="AI8" t="s">
        <v>60</v>
      </c>
      <c r="AJ8" s="25">
        <v>0</v>
      </c>
      <c r="AK8" t="s">
        <v>44</v>
      </c>
      <c r="AL8">
        <v>1</v>
      </c>
      <c r="AM8">
        <v>0</v>
      </c>
      <c r="AN8">
        <v>3</v>
      </c>
      <c r="AO8" t="str">
        <f>AP7</f>
        <v>Blt Burger</v>
      </c>
      <c r="AP8" t="str">
        <f>IF(ISNA(VLOOKUP(1,AH45:AI55,2,FALSE)),0,VLOOKUP(1,AH45:AI55,2,FALSE))</f>
        <v>West 3rd Common</v>
      </c>
      <c r="AQ8">
        <f>IF(ISNA(MIN(VLOOKUP(AO8,costs!$B$3:$M$14,MATCH(AP8,costs!$B$3:$M$3,0),FALSE),VLOOKUP(AO8,costs!$B$17:$M$28,MATCH(AP8,costs!$B$3:$M$3,0),FALSE),VLOOKUP(AO8,costs!$B$30:$M$41,MATCH(AP8,costs!$B$3:$M$3,0),FALSE))),0,MIN(VLOOKUP(AO8,costs!$B$3:$M$14,MATCH(AP8,costs!$B$3:$M$3,0),FALSE),VLOOKUP(AO8,costs!$B$17:$M$28,MATCH(AP8,costs!$B$3:$M$3,0),FALSE),VLOOKUP(AO8,costs!$B$30:$M$41,MATCH(AP8,costs!$B$3:$M$3,0),FALSE)))</f>
        <v>7.2</v>
      </c>
      <c r="AR8">
        <f>IF(ISNA(VLOOKUP(AO8,Summary!$B$3:$H$13,4,FALSE)),0,VLOOKUP(AO8,Summary!$B$3:$H$13,4,FALSE))</f>
        <v>11</v>
      </c>
      <c r="AS8">
        <f>IF(ISNA($AD$20*VLOOKUP(AO8,Summary!$B$3:$H$13,7,FALSE)*(1+$AD$21*AN7)-(VLOOKUP(AO8,Summary!$B$3:$G$13,6,FALSE)/60*$AD$17)),0,$AD$20*VLOOKUP(AO8,Summary!$B$3:$H$13,7,FALSE)*(1+$AD$21*AN7)-(VLOOKUP(AO8,Summary!$B$3:$G$13,6,FALSE)/60*$AD$17))</f>
        <v>-6.7799999999999976</v>
      </c>
      <c r="AT8" t="str">
        <f>IF(ISNA(IF(AQ8=VLOOKUP(AO8,costs!$B$3:$M$14,MATCH(AP8,costs!$B$3:$M$3,0),FALSE),"WALKING",IF(AQ8=VLOOKUP(AO8,costs!$B$17:$M$28,MATCH(AP8,costs!$B$3:$M$3,0),FALSE),"SUBWAY","TAXI"))),"",IF(AQ8=VLOOKUP(AO8,costs!$B$3:$M$14,MATCH(AP8,costs!$B$3:$M$3,0),FALSE),"WALKING",IF(AQ8=VLOOKUP(AO8,costs!$B$17:$M$28,MATCH(AP8,costs!$B$3:$M$3,0),FALSE),"SUBWAY","TAXI")))</f>
        <v>TAXI</v>
      </c>
      <c r="AU8">
        <f>IF(ISNA(IF(AT8="TAXI",VLOOKUP(AO8,'Time-Distance'!$B$31:$M$42,MATCH(AP8,'Time-Distance'!$B$31:$M$31,0),FALSE),IF(AT8="SUBWAY",VLOOKUP(AO8,'Time-Distance'!$B$17:$M$28,MATCH(AP8,'Time-Distance'!$B$31:$M$31,0),FALSE),VLOOKUP(AO8,'Time-Distance'!$B$3:$M$14,MATCH(AP8,'Time-Distance'!$B$31:$M$31,0),FALSE)))),0,IF(AT8="TAXI",VLOOKUP(AO8,'Time-Distance'!$B$31:$M$42,MATCH(AP8,'Time-Distance'!$B$31:$M$31,0),FALSE),IF(AT8="SUBWAY",VLOOKUP(AO8,'Time-Distance'!$B$17:$M$28,MATCH(AP8,'Time-Distance'!$B$31:$M$31,0),FALSE),VLOOKUP(AO8,'Time-Distance'!$B$3:$M$14,MATCH(AP8,'Time-Distance'!$B$31:$M$31,0),FALSE))))+AY8+AZ8</f>
        <v>4</v>
      </c>
      <c r="AV8">
        <f>IF(ISNA(VLOOKUP(AO8,Restaurants!$D$5:$H$15,5,FALSE)),0,VLOOKUP(AO8,Restaurants!$D$5:$H$15,5,FALSE))</f>
        <v>55</v>
      </c>
      <c r="AW8">
        <f t="shared" si="3"/>
        <v>59</v>
      </c>
      <c r="AY8">
        <f>IF(AT8="TAXI",IF($AD$23=1,costs!$C$55/60*$AD$17,costs!$C$56/60*$AD$17),0)</f>
        <v>1</v>
      </c>
      <c r="AZ8">
        <f>IF(AT8="SUBWAY",VLOOKUP(AO8,'Time-Distance'!$O$17:$Z$28,MATCH(AP8,'Time-Distance'!$O$17:$Z$17,0),FALSE)*IF($AD$23=1,costs!$C$51/60*$AD$17,costs!$C$52/60*$AD$17),0)</f>
        <v>0</v>
      </c>
    </row>
    <row r="9" spans="1:52">
      <c r="A9" s="53"/>
      <c r="B9" s="55" t="s">
        <v>12</v>
      </c>
      <c r="C9" s="55" t="s">
        <v>111</v>
      </c>
      <c r="D9" s="53"/>
      <c r="E9" s="70" t="str">
        <f>IF(F9="","","2nd")</f>
        <v>2nd</v>
      </c>
      <c r="F9" s="55" t="str">
        <f>IF(Model!AO7=0,"",Model!AO7)</f>
        <v>Paul's "Da Burger Joint"</v>
      </c>
      <c r="G9" s="55">
        <f>IF(Model!AV7=0,"",Model!AV7)</f>
        <v>30</v>
      </c>
      <c r="H9" s="55" t="str">
        <f>IF(F9="","",IF(Model!AT7="",$AR$4,Model!AT7))</f>
        <v>WALKING</v>
      </c>
      <c r="I9" s="62">
        <f>IF(F9="","",IF(IF(Model!AU7=0,"",Model!AU7)="",$I$14,IF(Model!AU7=0,"",Model!AU7)))</f>
        <v>18</v>
      </c>
      <c r="J9" s="62">
        <f t="shared" si="4"/>
        <v>48</v>
      </c>
      <c r="K9" s="59">
        <f>IF(F9="","",IF(IF(Model!AQ7=0,"",Model!AQ7)="",$K$14,IF(Model!AQ7=0,"",Model!AQ7)))</f>
        <v>9</v>
      </c>
      <c r="L9" s="53"/>
      <c r="M9" s="53"/>
      <c r="N9" s="53"/>
      <c r="O9" s="53"/>
      <c r="P9" s="53"/>
      <c r="AC9" t="s">
        <v>13</v>
      </c>
      <c r="AD9" s="9">
        <f t="shared" si="1"/>
        <v>0</v>
      </c>
      <c r="AE9" t="s">
        <v>44</v>
      </c>
      <c r="AF9">
        <f t="shared" si="2"/>
        <v>1</v>
      </c>
      <c r="AH9">
        <f t="shared" si="0"/>
        <v>0</v>
      </c>
      <c r="AI9" t="s">
        <v>13</v>
      </c>
      <c r="AJ9" s="25">
        <v>0</v>
      </c>
      <c r="AK9" t="s">
        <v>44</v>
      </c>
      <c r="AL9">
        <v>1</v>
      </c>
      <c r="AM9">
        <v>0</v>
      </c>
      <c r="AN9">
        <v>4</v>
      </c>
      <c r="AO9" t="str">
        <f>AP8</f>
        <v>West 3rd Common</v>
      </c>
      <c r="AP9">
        <f>IF(ISNA(VLOOKUP(1,AH59:AI69,2,FALSE)),0,VLOOKUP(1,AH59:AI69,2,FALSE))</f>
        <v>0</v>
      </c>
      <c r="AQ9">
        <f>IF(ISNA(MIN(VLOOKUP(AO9,costs!$B$3:$M$14,MATCH(AP9,costs!$B$3:$M$3,0),FALSE),VLOOKUP(AO9,costs!$B$17:$M$28,MATCH(AP9,costs!$B$3:$M$3,0),FALSE),VLOOKUP(AO9,costs!$B$30:$M$41,MATCH(AP9,costs!$B$3:$M$3,0),FALSE))),0,MIN(VLOOKUP(AO9,costs!$B$3:$M$14,MATCH(AP9,costs!$B$3:$M$3,0),FALSE),VLOOKUP(AO9,costs!$B$17:$M$28,MATCH(AP9,costs!$B$3:$M$3,0),FALSE),VLOOKUP(AO9,costs!$B$30:$M$41,MATCH(AP9,costs!$B$3:$M$3,0),FALSE)))</f>
        <v>0</v>
      </c>
      <c r="AR9">
        <f>IF(ISNA(VLOOKUP(AO9,Summary!$B$3:$H$13,4,FALSE)),0,VLOOKUP(AO9,Summary!$B$3:$H$13,4,FALSE))</f>
        <v>12</v>
      </c>
      <c r="AS9">
        <f>IF(ISNA($AD$20*VLOOKUP(AO9,Summary!$B$3:$H$13,7,FALSE)*(1+$AD$21*AN8)-(VLOOKUP(AO9,Summary!$B$3:$G$13,6,FALSE)/60*$AD$17)),0,$AD$20*VLOOKUP(AO9,Summary!$B$3:$H$13,7,FALSE)*(1+$AD$21*AN8)-(VLOOKUP(AO9,Summary!$B$3:$G$13,6,FALSE)/60*$AD$17))</f>
        <v>-0.36999999999999744</v>
      </c>
      <c r="AT9" t="str">
        <f>IF(ISNA(IF(AQ9=VLOOKUP(AO9,costs!$B$3:$M$14,MATCH(AP9,costs!$B$3:$M$3,0),FALSE),"WALKING",IF(AQ9=VLOOKUP(AO9,costs!$B$17:$M$28,MATCH(AP9,costs!$B$3:$M$3,0),FALSE),"SUBWAY","TAXI"))),"",IF(AQ9=VLOOKUP(AO9,costs!$B$3:$M$14,MATCH(AP9,costs!$B$3:$M$3,0),FALSE),"WALKING",IF(AQ9=VLOOKUP(AO9,costs!$B$17:$M$28,MATCH(AP9,costs!$B$3:$M$3,0),FALSE),"SUBWAY","TAXI")))</f>
        <v/>
      </c>
      <c r="AU9">
        <f>IF(ISNA(IF(AT9="TAXI",VLOOKUP(AO9,'Time-Distance'!$B$31:$M$42,MATCH(AP9,'Time-Distance'!$B$31:$M$31,0),FALSE),IF(AT9="SUBWAY",VLOOKUP(AO9,'Time-Distance'!$B$17:$M$28,MATCH(AP9,'Time-Distance'!$B$31:$M$31,0),FALSE),VLOOKUP(AO9,'Time-Distance'!$B$3:$M$14,MATCH(AP9,'Time-Distance'!$B$31:$M$31,0),FALSE)))),0,IF(AT9="TAXI",VLOOKUP(AO9,'Time-Distance'!$B$31:$M$42,MATCH(AP9,'Time-Distance'!$B$31:$M$31,0),FALSE),IF(AT9="SUBWAY",VLOOKUP(AO9,'Time-Distance'!$B$17:$M$28,MATCH(AP9,'Time-Distance'!$B$31:$M$31,0),FALSE),VLOOKUP(AO9,'Time-Distance'!$B$3:$M$14,MATCH(AP9,'Time-Distance'!$B$31:$M$31,0),FALSE))))+AY9+AZ9</f>
        <v>0</v>
      </c>
      <c r="AV9">
        <f>IF(ISNA(VLOOKUP(AO9,Restaurants!$D$5:$H$15,5,FALSE)),0,VLOOKUP(AO9,Restaurants!$D$5:$H$15,5,FALSE))</f>
        <v>30</v>
      </c>
      <c r="AW9">
        <f t="shared" si="3"/>
        <v>30</v>
      </c>
      <c r="AY9">
        <f>IF(AT9="TAXI",IF($AD$23=1,costs!$C$55/60*$AD$17,costs!$C$56/60*$AD$17),0)</f>
        <v>0</v>
      </c>
      <c r="AZ9">
        <f>IF(AT9="SUBWAY",VLOOKUP(AO9,'Time-Distance'!$O$17:$Z$28,MATCH(AP9,'Time-Distance'!$O$17:$Z$17,0),FALSE)*IF($AD$23=1,costs!$C$51/60*$AD$17,costs!$C$52/60*$AD$17),0)</f>
        <v>0</v>
      </c>
    </row>
    <row r="10" spans="1:52">
      <c r="A10" s="53"/>
      <c r="B10" s="55" t="s">
        <v>58</v>
      </c>
      <c r="C10" s="55" t="s">
        <v>111</v>
      </c>
      <c r="D10" s="53"/>
      <c r="E10" s="70" t="str">
        <f>IF(F10="","","3rd")</f>
        <v>3rd</v>
      </c>
      <c r="F10" s="55" t="str">
        <f>IF(Model!AO8=0,"",Model!AO8)</f>
        <v>Blt Burger</v>
      </c>
      <c r="G10" s="55">
        <f>IF(Model!AV8=0,"",Model!AV8)</f>
        <v>55</v>
      </c>
      <c r="H10" s="55" t="str">
        <f>IF(F10="","",IF(Model!AT8="",$AR$4,Model!AT8))</f>
        <v>TAXI</v>
      </c>
      <c r="I10" s="62">
        <f>IF(F10="","",IF(IF(Model!AU8=0,"",Model!AU8)="",$I$14,IF(Model!AU8=0,"",Model!AU8)))</f>
        <v>4</v>
      </c>
      <c r="J10" s="62">
        <f t="shared" si="4"/>
        <v>59</v>
      </c>
      <c r="K10" s="59">
        <f>IF(F10="","",IF(IF(Model!AQ8=0,"",Model!AQ8)="",$K$14,IF(Model!AQ8=0,"",Model!AQ8)))</f>
        <v>7.2</v>
      </c>
      <c r="L10" s="53"/>
      <c r="M10" s="53"/>
      <c r="N10" s="53"/>
      <c r="O10" s="53"/>
      <c r="P10" s="53"/>
      <c r="AC10" t="s">
        <v>15</v>
      </c>
      <c r="AD10" s="9">
        <f t="shared" si="1"/>
        <v>0</v>
      </c>
      <c r="AE10" t="s">
        <v>44</v>
      </c>
      <c r="AF10">
        <f t="shared" si="2"/>
        <v>1</v>
      </c>
      <c r="AH10">
        <f t="shared" si="0"/>
        <v>0</v>
      </c>
      <c r="AI10" t="s">
        <v>15</v>
      </c>
      <c r="AJ10" s="25">
        <v>0</v>
      </c>
      <c r="AK10" t="s">
        <v>44</v>
      </c>
      <c r="AL10">
        <v>1</v>
      </c>
      <c r="AM10">
        <v>0</v>
      </c>
      <c r="AN10">
        <v>5</v>
      </c>
      <c r="AO10">
        <f>AP9</f>
        <v>0</v>
      </c>
      <c r="AP10">
        <f>IF(ISNA(VLOOKUP(1,AH73:AI83,2,FALSE)),0,VLOOKUP(1,AH73:AI83,2,FALSE))</f>
        <v>0</v>
      </c>
      <c r="AQ10">
        <f>IF(ISNA(MIN(VLOOKUP(AO10,costs!$B$3:$M$14,MATCH(AP10,costs!$B$3:$M$3,0),FALSE),VLOOKUP(AO10,costs!$B$17:$M$28,MATCH(AP10,costs!$B$3:$M$3,0),FALSE),VLOOKUP(AO10,costs!$B$30:$M$41,MATCH(AP10,costs!$B$3:$M$3,0),FALSE))),0,MIN(VLOOKUP(AO10,costs!$B$3:$M$14,MATCH(AP10,costs!$B$3:$M$3,0),FALSE),VLOOKUP(AO10,costs!$B$17:$M$28,MATCH(AP10,costs!$B$3:$M$3,0),FALSE),VLOOKUP(AO10,costs!$B$30:$M$41,MATCH(AP10,costs!$B$3:$M$3,0),FALSE)))</f>
        <v>0</v>
      </c>
      <c r="AR10">
        <f>IF(ISNA(VLOOKUP(AO10,Summary!$B$3:$H$13,4,FALSE)),0,VLOOKUP(AO10,Summary!$B$3:$H$13,4,FALSE))</f>
        <v>0</v>
      </c>
      <c r="AS10">
        <f>IF(ISNA($AD$20*VLOOKUP(AO10,Summary!$B$3:$H$13,7,FALSE)*(1+$AD$21*AN9)-(VLOOKUP(AO10,Summary!$B$3:$G$13,6,FALSE)/60*$AD$17)),0,$AD$20*VLOOKUP(AO10,Summary!$B$3:$H$13,7,FALSE)*(1+$AD$21*AN9)-(VLOOKUP(AO10,Summary!$B$3:$G$13,6,FALSE)/60*$AD$17))</f>
        <v>0</v>
      </c>
      <c r="AT10" t="str">
        <f>IF(ISNA(IF(AQ10=VLOOKUP(AO10,costs!$B$3:$M$14,MATCH(AP10,costs!$B$3:$M$3,0),FALSE),"WALKING",IF(AQ10=VLOOKUP(AO10,costs!$B$17:$M$28,MATCH(AP10,costs!$B$3:$M$3,0),FALSE),"SUBWAY","TAXI"))),"",IF(AQ10=VLOOKUP(AO10,costs!$B$3:$M$14,MATCH(AP10,costs!$B$3:$M$3,0),FALSE),"WALKING",IF(AQ10=VLOOKUP(AO10,costs!$B$17:$M$28,MATCH(AP10,costs!$B$3:$M$3,0),FALSE),"SUBWAY","TAXI")))</f>
        <v/>
      </c>
      <c r="AU10">
        <f>IF(ISNA(IF(AT10="TAXI",VLOOKUP(AO10,'Time-Distance'!$B$31:$M$42,MATCH(AP10,'Time-Distance'!$B$31:$M$31,0),FALSE),IF(AT10="SUBWAY",VLOOKUP(AO10,'Time-Distance'!$B$17:$M$28,MATCH(AP10,'Time-Distance'!$B$31:$M$31,0),FALSE),VLOOKUP(AO10,'Time-Distance'!$B$3:$M$14,MATCH(AP10,'Time-Distance'!$B$31:$M$31,0),FALSE)))),0,IF(AT10="TAXI",VLOOKUP(AO10,'Time-Distance'!$B$31:$M$42,MATCH(AP10,'Time-Distance'!$B$31:$M$31,0),FALSE),IF(AT10="SUBWAY",VLOOKUP(AO10,'Time-Distance'!$B$17:$M$28,MATCH(AP10,'Time-Distance'!$B$31:$M$31,0),FALSE),VLOOKUP(AO10,'Time-Distance'!$B$3:$M$14,MATCH(AP10,'Time-Distance'!$B$31:$M$31,0),FALSE))))+AY10+AZ10</f>
        <v>0</v>
      </c>
      <c r="AV10">
        <f>IF(ISNA(VLOOKUP(AO10,Restaurants!$D$5:$H$15,5,FALSE)),0,VLOOKUP(AO10,Restaurants!$D$5:$H$15,5,FALSE))</f>
        <v>0</v>
      </c>
      <c r="AW10">
        <f t="shared" si="3"/>
        <v>0</v>
      </c>
      <c r="AY10">
        <f>IF(AT10="TAXI",IF($AD$23=1,costs!$C$55/60*$AD$17,costs!$C$56/60*$AD$17),0)</f>
        <v>0</v>
      </c>
      <c r="AZ10">
        <f>IF(AT10="SUBWAY",VLOOKUP(AO10,'Time-Distance'!$O$17:$Z$28,MATCH(AP10,'Time-Distance'!$O$17:$Z$17,0),FALSE)*IF($AD$23=1,costs!$C$51/60*$AD$17,costs!$C$52/60*$AD$17),0)</f>
        <v>0</v>
      </c>
    </row>
    <row r="11" spans="1:52">
      <c r="A11" s="53"/>
      <c r="B11" s="55" t="s">
        <v>59</v>
      </c>
      <c r="C11" s="55" t="s">
        <v>111</v>
      </c>
      <c r="D11" s="53"/>
      <c r="E11" s="70" t="str">
        <f>IF(F11="","","4th")</f>
        <v>4th</v>
      </c>
      <c r="F11" s="55" t="str">
        <f>IF(Model!AO9=0,"",Model!AO9)</f>
        <v>West 3rd Common</v>
      </c>
      <c r="G11" s="55">
        <f>IF(Model!AV9=0,"",Model!AV9)</f>
        <v>30</v>
      </c>
      <c r="H11" s="55" t="str">
        <f>IF(F11="","",IF(Model!AT9="",$AR$4,Model!AT9))</f>
        <v>WALKING</v>
      </c>
      <c r="I11" s="62">
        <f>IF(F11="","",IF(IF(Model!AU9=0,"",Model!AU9)="",$I$14,IF(Model!AU9=0,"",Model!AU9)))</f>
        <v>3</v>
      </c>
      <c r="J11" s="62">
        <f t="shared" si="4"/>
        <v>33</v>
      </c>
      <c r="K11" s="59">
        <f>IF(F11="","",IF(IF(Model!AQ9=0,"",Model!AQ9)="",$K$14,IF(Model!AQ9=0,"",Model!AQ9)))</f>
        <v>1.5</v>
      </c>
      <c r="L11" s="53"/>
      <c r="M11" s="53"/>
      <c r="N11" s="53"/>
      <c r="O11" s="53"/>
      <c r="P11" s="53"/>
      <c r="AC11" t="s">
        <v>14</v>
      </c>
      <c r="AD11" s="9">
        <f t="shared" si="1"/>
        <v>0</v>
      </c>
      <c r="AE11" t="s">
        <v>44</v>
      </c>
      <c r="AF11">
        <f t="shared" si="2"/>
        <v>1</v>
      </c>
      <c r="AH11">
        <f t="shared" si="0"/>
        <v>0</v>
      </c>
      <c r="AI11" t="s">
        <v>14</v>
      </c>
      <c r="AJ11" s="25">
        <v>0</v>
      </c>
      <c r="AK11" t="s">
        <v>44</v>
      </c>
      <c r="AL11">
        <v>1</v>
      </c>
      <c r="AM11">
        <v>0</v>
      </c>
      <c r="AN11">
        <v>6</v>
      </c>
      <c r="AO11">
        <f>AP10</f>
        <v>0</v>
      </c>
      <c r="AP11">
        <v>0</v>
      </c>
      <c r="AQ11">
        <f>IF(ISNA(MIN(VLOOKUP(AO11,costs!$B$3:$M$14,MATCH(AP11,costs!$B$3:$M$3,0),FALSE),VLOOKUP(AO11,costs!$B$17:$M$28,MATCH(AP11,costs!$B$3:$M$3,0),FALSE),VLOOKUP(AO11,costs!$B$30:$M$41,MATCH(AP11,costs!$B$3:$M$3,0),FALSE))),0,MIN(VLOOKUP(AO11,costs!$B$3:$M$14,MATCH(AP11,costs!$B$3:$M$3,0),FALSE),VLOOKUP(AO11,costs!$B$17:$M$28,MATCH(AP11,costs!$B$3:$M$3,0),FALSE),VLOOKUP(AO11,costs!$B$30:$M$41,MATCH(AP11,costs!$B$3:$M$3,0),FALSE)))</f>
        <v>0</v>
      </c>
      <c r="AR11">
        <f>IF(ISNA(VLOOKUP(AO11,Summary!$B$3:$H$13,4,FALSE)),0,VLOOKUP(AO11,Summary!$B$3:$H$13,4,FALSE))</f>
        <v>0</v>
      </c>
      <c r="AS11">
        <f>IF(ISNA($AD$20*VLOOKUP(AO11,Summary!$B$3:$H$13,7,FALSE)*(1+$AD$21*AN10)-(VLOOKUP(AO11,Summary!$B$3:$G$13,6,FALSE)/60*$AD$17)),0,$AD$20*VLOOKUP(AO11,Summary!$B$3:$H$13,7,FALSE)*(1+$AD$21*AN10)-(VLOOKUP(AO11,Summary!$B$3:$G$13,6,FALSE)/60*$AD$17))</f>
        <v>0</v>
      </c>
      <c r="AT11" t="str">
        <f>IF(ISNA(IF(AQ11=VLOOKUP(AO11,costs!$B$3:$M$14,MATCH(AP11,costs!$B$3:$M$3,0),FALSE),"WALKING",IF(AQ11=VLOOKUP(AO11,costs!$B$17:$M$28,MATCH(AP11,costs!$B$3:$M$3,0),FALSE),"SUBWAY","TAXI"))),"",IF(AQ11=VLOOKUP(AO11,costs!$B$3:$M$14,MATCH(AP11,costs!$B$3:$M$3,0),FALSE),"WALKING",IF(AQ11=VLOOKUP(AO11,costs!$B$17:$M$28,MATCH(AP11,costs!$B$3:$M$3,0),FALSE),"SUBWAY","TAXI")))</f>
        <v/>
      </c>
      <c r="AU11">
        <f>IF(ISNA(IF(AT11="TAXI",VLOOKUP(AO11,'Time-Distance'!$B$31:$M$42,MATCH(AP11,'Time-Distance'!$B$31:$M$31,0),FALSE),IF(AT11="SUBWAY",VLOOKUP(AO11,'Time-Distance'!$B$17:$M$28,MATCH(AP11,'Time-Distance'!$B$31:$M$31,0),FALSE),VLOOKUP(AO11,'Time-Distance'!$B$3:$M$14,MATCH(AP11,'Time-Distance'!$B$31:$M$31,0),FALSE)))),0,IF(AT11="TAXI",VLOOKUP(AO11,'Time-Distance'!$B$31:$M$42,MATCH(AP11,'Time-Distance'!$B$31:$M$31,0),FALSE),IF(AT11="SUBWAY",VLOOKUP(AO11,'Time-Distance'!$B$17:$M$28,MATCH(AP11,'Time-Distance'!$B$31:$M$31,0),FALSE),VLOOKUP(AO11,'Time-Distance'!$B$3:$M$14,MATCH(AP11,'Time-Distance'!$B$31:$M$31,0),FALSE))))+AY11+AZ11</f>
        <v>0</v>
      </c>
      <c r="AV11">
        <f>IF(ISNA(VLOOKUP(AO11,Restaurants!$D$5:$H$15,5,FALSE)),0,VLOOKUP(AO11,Restaurants!$D$5:$H$15,5,FALSE))</f>
        <v>0</v>
      </c>
      <c r="AW11">
        <f t="shared" si="3"/>
        <v>0</v>
      </c>
      <c r="AY11">
        <f>IF(AT11="TAXI",IF($AD$23=1,costs!$C$55/60*$AD$17,costs!$C$56/60*$AD$17),0)</f>
        <v>0</v>
      </c>
      <c r="AZ11">
        <f>IF(AT11="SUBWAY",VLOOKUP(AO11,'Time-Distance'!$O$17:$Z$28,MATCH(AP11,'Time-Distance'!$O$17:$Z$17,0),FALSE)*IF($AD$23=1,costs!$C$51/60*$AD$17,costs!$C$52/60*$AD$17),0)</f>
        <v>0</v>
      </c>
    </row>
    <row r="12" spans="1:52">
      <c r="A12" s="53"/>
      <c r="B12" s="55" t="s">
        <v>60</v>
      </c>
      <c r="C12" s="55" t="s">
        <v>111</v>
      </c>
      <c r="D12" s="53"/>
      <c r="E12" s="70" t="str">
        <f>IF(F12="","","5th")</f>
        <v/>
      </c>
      <c r="F12" s="55" t="str">
        <f>IF(Model!AO10=0,"",Model!AO10)</f>
        <v/>
      </c>
      <c r="G12" s="55" t="str">
        <f>IF(Model!AV10=0,"",Model!AV10)</f>
        <v/>
      </c>
      <c r="H12" s="55" t="str">
        <f>IF(F12="","",IF(Model!AT10="",$AR$4,Model!AT10))</f>
        <v/>
      </c>
      <c r="I12" s="62" t="str">
        <f>IF(F12="","",IF(IF(Model!AU10=0,"",Model!AU10)="",$I$14,IF(Model!AU10=0,"",Model!AU10)))</f>
        <v/>
      </c>
      <c r="J12" s="62" t="str">
        <f t="shared" si="4"/>
        <v/>
      </c>
      <c r="K12" s="59" t="str">
        <f>IF(F12="","",IF(IF(Model!AQ10=0,"",Model!AQ10)="",$K$14,IF(Model!AQ10=0,"",Model!AQ10)))</f>
        <v/>
      </c>
      <c r="L12" s="53"/>
      <c r="M12" s="53"/>
      <c r="N12" s="53"/>
      <c r="O12" s="53"/>
      <c r="P12" s="53"/>
      <c r="AC12" t="s">
        <v>61</v>
      </c>
      <c r="AD12" s="9">
        <f t="shared" si="1"/>
        <v>1</v>
      </c>
      <c r="AE12" t="s">
        <v>44</v>
      </c>
      <c r="AF12">
        <f t="shared" si="2"/>
        <v>1</v>
      </c>
      <c r="AH12">
        <f t="shared" si="0"/>
        <v>0</v>
      </c>
      <c r="AI12" t="s">
        <v>61</v>
      </c>
      <c r="AJ12" s="25">
        <v>0</v>
      </c>
      <c r="AK12" t="s">
        <v>44</v>
      </c>
      <c r="AL12">
        <v>1</v>
      </c>
      <c r="AM12">
        <v>0</v>
      </c>
    </row>
    <row r="13" spans="1:52" ht="15.75" thickBot="1">
      <c r="A13" s="53"/>
      <c r="B13" s="55" t="s">
        <v>13</v>
      </c>
      <c r="C13" s="55" t="s">
        <v>111</v>
      </c>
      <c r="D13" s="53"/>
      <c r="E13" s="70" t="str">
        <f>IF(F13="","","6th")</f>
        <v/>
      </c>
      <c r="F13" s="55" t="str">
        <f>IF(Model!AO11=0,"",Model!AO11)</f>
        <v/>
      </c>
      <c r="G13" s="55" t="str">
        <f>IF(Model!AV11=0,"",Model!AV11)</f>
        <v/>
      </c>
      <c r="H13" s="55" t="str">
        <f>IF(F13="","",IF(Model!AT11="",$AR$4,Model!AT11))</f>
        <v/>
      </c>
      <c r="I13" s="62" t="str">
        <f>IF(F13="","",IF(IF(Model!AU11=0,"",Model!AU11)="",$I$14,IF(Model!AU11=0,"",Model!AU11)))</f>
        <v/>
      </c>
      <c r="J13" s="62" t="str">
        <f t="shared" si="4"/>
        <v/>
      </c>
      <c r="K13" s="59" t="str">
        <f>IF(F13="","",IF(IF(Model!AQ11=0,"",Model!AQ11)="",$K$14,IF(Model!AQ11=0,"",Model!AQ11)))</f>
        <v/>
      </c>
      <c r="L13" s="53"/>
      <c r="M13" s="53"/>
      <c r="N13" s="53"/>
      <c r="O13" s="53"/>
      <c r="P13" s="53"/>
      <c r="AC13" t="s">
        <v>62</v>
      </c>
      <c r="AD13" s="9">
        <f t="shared" si="1"/>
        <v>0</v>
      </c>
      <c r="AE13" t="s">
        <v>44</v>
      </c>
      <c r="AF13">
        <f t="shared" si="2"/>
        <v>1</v>
      </c>
      <c r="AH13">
        <f t="shared" si="0"/>
        <v>0</v>
      </c>
      <c r="AI13" t="s">
        <v>62</v>
      </c>
      <c r="AJ13" s="26">
        <v>0</v>
      </c>
      <c r="AK13" t="s">
        <v>44</v>
      </c>
      <c r="AL13">
        <v>1</v>
      </c>
      <c r="AM13">
        <v>0</v>
      </c>
      <c r="AR13" s="2" t="s">
        <v>55</v>
      </c>
      <c r="AS13" s="29">
        <f>SUM(AS6:AS11)-SUM(AR6:AR11)-SUM(AQ6:AQ11)-SUM(AQ3:AQ4)</f>
        <v>-50.522499999999994</v>
      </c>
      <c r="AV13" s="50" t="s">
        <v>108</v>
      </c>
      <c r="AW13" s="51">
        <f>SUM(AW6:AW11,AS3,AS4)/60</f>
        <v>3.6010833333333334</v>
      </c>
    </row>
    <row r="14" spans="1:52" ht="15.75" thickTop="1">
      <c r="A14" s="53"/>
      <c r="B14" s="55" t="s">
        <v>15</v>
      </c>
      <c r="C14" s="55" t="s">
        <v>111</v>
      </c>
      <c r="D14" s="53"/>
      <c r="E14" s="65" t="s">
        <v>130</v>
      </c>
      <c r="F14" s="55" t="str">
        <f>AP4</f>
        <v>Stern</v>
      </c>
      <c r="G14" s="55"/>
      <c r="H14" s="55"/>
      <c r="I14" s="69">
        <f>AS4</f>
        <v>3</v>
      </c>
      <c r="J14" s="69">
        <f>I14+G14</f>
        <v>3</v>
      </c>
      <c r="K14" s="69">
        <f>Model!AQ4</f>
        <v>1.5</v>
      </c>
      <c r="L14" s="53"/>
      <c r="M14" s="53"/>
      <c r="N14" s="53"/>
      <c r="O14" s="53"/>
      <c r="P14" s="53"/>
      <c r="AC14" t="s">
        <v>42</v>
      </c>
      <c r="AD14" s="9">
        <f>SUM(AD3:AD13)</f>
        <v>4</v>
      </c>
      <c r="AE14" t="s">
        <v>45</v>
      </c>
      <c r="AF14">
        <f>AD16</f>
        <v>4</v>
      </c>
      <c r="AI14" t="s">
        <v>42</v>
      </c>
      <c r="AJ14">
        <f>SUM(AJ3:AJ13)</f>
        <v>1</v>
      </c>
      <c r="AK14" t="s">
        <v>45</v>
      </c>
      <c r="AL14">
        <f>IF(AI2&lt;=$AD$16,1,0)</f>
        <v>1</v>
      </c>
    </row>
    <row r="15" spans="1:52">
      <c r="A15" s="53"/>
      <c r="B15" s="55" t="s">
        <v>14</v>
      </c>
      <c r="C15" s="55" t="s">
        <v>111</v>
      </c>
      <c r="D15" s="53"/>
      <c r="E15" s="55"/>
      <c r="F15" s="55"/>
      <c r="G15" s="55"/>
      <c r="H15" s="55"/>
      <c r="I15" s="55"/>
      <c r="J15" s="55"/>
      <c r="K15" s="59"/>
      <c r="L15" s="53"/>
      <c r="M15" s="53"/>
      <c r="N15" s="53"/>
      <c r="O15" s="53"/>
      <c r="P15" s="53"/>
    </row>
    <row r="16" spans="1:52" ht="15.75" thickBot="1">
      <c r="A16" s="53"/>
      <c r="B16" s="55" t="s">
        <v>61</v>
      </c>
      <c r="C16" s="55" t="s">
        <v>111</v>
      </c>
      <c r="D16" s="53"/>
      <c r="E16" s="55"/>
      <c r="F16" s="55"/>
      <c r="G16" s="55"/>
      <c r="H16" s="55"/>
      <c r="I16" s="62"/>
      <c r="J16" s="55"/>
      <c r="K16" s="59"/>
      <c r="L16" s="53"/>
      <c r="M16" s="53"/>
      <c r="N16" s="53"/>
      <c r="O16" s="53"/>
      <c r="P16" s="53"/>
      <c r="AC16" s="27" t="s">
        <v>43</v>
      </c>
      <c r="AD16" s="27">
        <f>C19</f>
        <v>4</v>
      </c>
      <c r="AI16">
        <f>1+AI2</f>
        <v>2</v>
      </c>
      <c r="AU16" s="5"/>
    </row>
    <row r="17" spans="1:47" ht="15.75" thickTop="1">
      <c r="A17" s="53"/>
      <c r="B17" s="55" t="s">
        <v>62</v>
      </c>
      <c r="C17" s="55" t="s">
        <v>111</v>
      </c>
      <c r="D17" s="53"/>
      <c r="E17" s="55"/>
      <c r="F17" s="55"/>
      <c r="G17" s="55"/>
      <c r="H17" s="55"/>
      <c r="I17" s="55"/>
      <c r="J17" s="55"/>
      <c r="K17" s="55"/>
      <c r="L17" s="53"/>
      <c r="M17" s="53"/>
      <c r="N17" s="53"/>
      <c r="O17" s="53"/>
      <c r="P17" s="53"/>
      <c r="AC17" s="2" t="s">
        <v>46</v>
      </c>
      <c r="AD17" s="2">
        <f>C26</f>
        <v>30</v>
      </c>
      <c r="AH17">
        <f t="shared" ref="AH17:AH27" si="5">AJ17</f>
        <v>0</v>
      </c>
      <c r="AI17" s="12" t="s">
        <v>57</v>
      </c>
      <c r="AJ17" s="24">
        <v>0</v>
      </c>
      <c r="AK17" t="s">
        <v>44</v>
      </c>
      <c r="AL17">
        <f>IF(AI16&lt;=$AD$16,IF(AM17=1,0,1),0)</f>
        <v>1</v>
      </c>
      <c r="AM17">
        <f>SUM(AJ3,AM3)</f>
        <v>0</v>
      </c>
    </row>
    <row r="18" spans="1:47">
      <c r="A18" s="53"/>
      <c r="B18" s="55"/>
      <c r="C18" s="55"/>
      <c r="D18" s="53"/>
      <c r="E18" s="55"/>
      <c r="F18" s="55" t="s">
        <v>123</v>
      </c>
      <c r="G18" s="55"/>
      <c r="H18" s="55"/>
      <c r="I18" s="55"/>
      <c r="J18" s="55"/>
      <c r="K18" s="71">
        <f>TIME(,SUM(J7:J13),)</f>
        <v>0.15</v>
      </c>
      <c r="L18" s="53"/>
      <c r="M18" s="53"/>
      <c r="N18" s="53"/>
      <c r="O18" s="53"/>
      <c r="P18" s="53"/>
      <c r="AH18">
        <f t="shared" si="5"/>
        <v>0</v>
      </c>
      <c r="AI18" s="12" t="s">
        <v>0</v>
      </c>
      <c r="AJ18" s="25">
        <v>0</v>
      </c>
      <c r="AK18" t="s">
        <v>44</v>
      </c>
      <c r="AL18">
        <f>IF(AI16&lt;=$AD$16,IF(AM18=1,0,1),0)</f>
        <v>0</v>
      </c>
      <c r="AM18">
        <f t="shared" ref="AM18:AM27" si="6">SUM(AJ4,AM4)</f>
        <v>1</v>
      </c>
    </row>
    <row r="19" spans="1:47">
      <c r="A19" s="53"/>
      <c r="B19" s="56" t="s">
        <v>112</v>
      </c>
      <c r="C19" s="55">
        <v>4</v>
      </c>
      <c r="D19" s="53"/>
      <c r="E19" s="55"/>
      <c r="F19" s="55"/>
      <c r="G19" s="55"/>
      <c r="H19" s="55"/>
      <c r="I19" s="55"/>
      <c r="J19" s="55"/>
      <c r="K19" s="55"/>
      <c r="L19" s="53"/>
      <c r="M19" s="53"/>
      <c r="N19" s="53"/>
      <c r="O19" s="53"/>
      <c r="P19" s="53"/>
      <c r="AH19">
        <f t="shared" si="5"/>
        <v>0</v>
      </c>
      <c r="AI19" t="s">
        <v>12</v>
      </c>
      <c r="AJ19" s="25">
        <v>0</v>
      </c>
      <c r="AK19" t="s">
        <v>44</v>
      </c>
      <c r="AL19">
        <f>IF(AI16&lt;=$AD$16,IF(AM19=1,0,1),0)</f>
        <v>1</v>
      </c>
      <c r="AM19">
        <f t="shared" si="6"/>
        <v>0</v>
      </c>
    </row>
    <row r="20" spans="1:47">
      <c r="A20" s="53"/>
      <c r="B20" s="55"/>
      <c r="C20" s="55"/>
      <c r="D20" s="53"/>
      <c r="E20" s="55"/>
      <c r="F20" s="67" t="s">
        <v>118</v>
      </c>
      <c r="G20" s="67"/>
      <c r="H20" s="67"/>
      <c r="I20" s="67"/>
      <c r="J20" s="67"/>
      <c r="K20" s="68">
        <f>AS13</f>
        <v>-50.522499999999994</v>
      </c>
      <c r="L20" s="53"/>
      <c r="M20" s="53"/>
      <c r="N20" s="53"/>
      <c r="O20" s="53"/>
      <c r="P20" s="53"/>
      <c r="AC20" s="2" t="s">
        <v>53</v>
      </c>
      <c r="AD20" s="2">
        <v>50</v>
      </c>
      <c r="AH20">
        <f t="shared" si="5"/>
        <v>1</v>
      </c>
      <c r="AI20" t="s">
        <v>58</v>
      </c>
      <c r="AJ20" s="25">
        <v>1</v>
      </c>
      <c r="AK20" t="s">
        <v>44</v>
      </c>
      <c r="AL20">
        <f>IF(AI16&lt;=$AD$16,IF(AM20=1,0,1),0)</f>
        <v>1</v>
      </c>
      <c r="AM20">
        <f t="shared" si="6"/>
        <v>0</v>
      </c>
      <c r="AU20" s="5"/>
    </row>
    <row r="21" spans="1:47">
      <c r="A21" s="53"/>
      <c r="B21" s="56" t="s">
        <v>125</v>
      </c>
      <c r="C21" s="55"/>
      <c r="D21" s="53"/>
      <c r="E21" s="55"/>
      <c r="F21" s="55"/>
      <c r="G21" s="55"/>
      <c r="H21" s="55"/>
      <c r="I21" s="55"/>
      <c r="J21" s="55"/>
      <c r="K21" s="55"/>
      <c r="L21" s="53"/>
      <c r="M21" s="53"/>
      <c r="N21" s="53"/>
      <c r="O21" s="53"/>
      <c r="P21" s="53"/>
      <c r="AC21" s="2" t="s">
        <v>54</v>
      </c>
      <c r="AD21" s="28">
        <v>-0.15</v>
      </c>
      <c r="AH21">
        <f t="shared" si="5"/>
        <v>0</v>
      </c>
      <c r="AI21" t="s">
        <v>59</v>
      </c>
      <c r="AJ21" s="25">
        <v>0</v>
      </c>
      <c r="AK21" t="s">
        <v>44</v>
      </c>
      <c r="AL21">
        <f>IF(AI16&lt;=$AD$16,IF(AM21=1,0,1),0)</f>
        <v>1</v>
      </c>
      <c r="AM21">
        <f t="shared" si="6"/>
        <v>0</v>
      </c>
    </row>
    <row r="22" spans="1:47">
      <c r="A22" s="53"/>
      <c r="B22" s="55"/>
      <c r="C22" s="55"/>
      <c r="D22" s="53"/>
      <c r="E22" s="55"/>
      <c r="F22" s="55"/>
      <c r="G22" s="55"/>
      <c r="H22" s="55"/>
      <c r="I22" s="55"/>
      <c r="J22" s="55"/>
      <c r="K22" s="55"/>
      <c r="L22" s="53"/>
      <c r="M22" s="53"/>
      <c r="N22" s="53"/>
      <c r="O22" s="53"/>
      <c r="P22" s="53"/>
      <c r="AC22" s="2"/>
      <c r="AD22" s="2"/>
      <c r="AH22">
        <f t="shared" si="5"/>
        <v>0</v>
      </c>
      <c r="AI22" t="s">
        <v>60</v>
      </c>
      <c r="AJ22" s="25">
        <v>0</v>
      </c>
      <c r="AK22" t="s">
        <v>44</v>
      </c>
      <c r="AL22">
        <f>IF(AI16&lt;=$AD$16,IF(AM22=1,0,1),0)</f>
        <v>1</v>
      </c>
      <c r="AM22">
        <f t="shared" si="6"/>
        <v>0</v>
      </c>
    </row>
    <row r="23" spans="1:47">
      <c r="A23" s="53"/>
      <c r="B23" s="56" t="s">
        <v>115</v>
      </c>
      <c r="C23" s="55" t="s">
        <v>86</v>
      </c>
      <c r="D23" s="53"/>
      <c r="E23" s="55"/>
      <c r="F23" s="55"/>
      <c r="G23" s="55"/>
      <c r="H23" s="55"/>
      <c r="I23" s="55"/>
      <c r="J23" s="55"/>
      <c r="K23" s="55"/>
      <c r="L23" s="53"/>
      <c r="M23" s="53"/>
      <c r="N23" s="53"/>
      <c r="O23" s="53"/>
      <c r="P23" s="53"/>
      <c r="AC23" s="2" t="s">
        <v>90</v>
      </c>
      <c r="AD23" s="2">
        <f>IF(C21="√",1,0)</f>
        <v>0</v>
      </c>
      <c r="AH23">
        <f t="shared" si="5"/>
        <v>0</v>
      </c>
      <c r="AI23" t="s">
        <v>13</v>
      </c>
      <c r="AJ23" s="25">
        <v>0</v>
      </c>
      <c r="AK23" t="s">
        <v>44</v>
      </c>
      <c r="AL23">
        <f>IF(AI16&lt;=$AD$16,IF(AM23=1,0,1),0)</f>
        <v>1</v>
      </c>
      <c r="AM23">
        <f t="shared" si="6"/>
        <v>0</v>
      </c>
    </row>
    <row r="24" spans="1:47">
      <c r="A24" s="53"/>
      <c r="B24" s="56" t="s">
        <v>116</v>
      </c>
      <c r="C24" s="55" t="s">
        <v>85</v>
      </c>
      <c r="D24" s="53"/>
      <c r="E24" s="55"/>
      <c r="F24" s="55"/>
      <c r="G24" s="55"/>
      <c r="H24" s="55"/>
      <c r="I24" s="55"/>
      <c r="J24" s="55"/>
      <c r="K24" s="55"/>
      <c r="L24" s="53"/>
      <c r="M24" s="53"/>
      <c r="N24" s="53"/>
      <c r="O24" s="53"/>
      <c r="P24" s="53"/>
      <c r="AC24" s="2"/>
      <c r="AD24" s="2"/>
      <c r="AH24">
        <f t="shared" si="5"/>
        <v>0</v>
      </c>
      <c r="AI24" t="s">
        <v>15</v>
      </c>
      <c r="AJ24" s="25">
        <v>0</v>
      </c>
      <c r="AK24" t="s">
        <v>44</v>
      </c>
      <c r="AL24">
        <f>IF(AI16&lt;=$AD$16,IF(AM24=1,0,1),0)</f>
        <v>1</v>
      </c>
      <c r="AM24">
        <f t="shared" si="6"/>
        <v>0</v>
      </c>
    </row>
    <row r="25" spans="1:47">
      <c r="A25" s="53"/>
      <c r="B25" s="55"/>
      <c r="C25" s="55"/>
      <c r="D25" s="53"/>
      <c r="E25" s="55"/>
      <c r="F25" s="55"/>
      <c r="G25" s="55"/>
      <c r="H25" s="55"/>
      <c r="I25" s="55"/>
      <c r="J25" s="55"/>
      <c r="K25" s="55"/>
      <c r="L25" s="53"/>
      <c r="M25" s="53"/>
      <c r="N25" s="53"/>
      <c r="O25" s="53"/>
      <c r="P25" s="53"/>
      <c r="AC25" s="2" t="s">
        <v>56</v>
      </c>
      <c r="AD25" s="6" t="str">
        <f>C23</f>
        <v>Wall Street</v>
      </c>
      <c r="AH25">
        <f t="shared" si="5"/>
        <v>0</v>
      </c>
      <c r="AI25" t="s">
        <v>14</v>
      </c>
      <c r="AJ25" s="25">
        <v>0</v>
      </c>
      <c r="AK25" t="s">
        <v>44</v>
      </c>
      <c r="AL25">
        <f>IF(AI16&lt;=$AD$16,IF(AM25=1,0,1),0)</f>
        <v>1</v>
      </c>
      <c r="AM25">
        <f t="shared" si="6"/>
        <v>0</v>
      </c>
    </row>
    <row r="26" spans="1:47">
      <c r="A26" s="53"/>
      <c r="B26" s="56" t="s">
        <v>46</v>
      </c>
      <c r="C26" s="55">
        <v>30</v>
      </c>
      <c r="D26" s="53"/>
      <c r="E26" s="55"/>
      <c r="F26" s="55"/>
      <c r="G26" s="55"/>
      <c r="H26" s="55"/>
      <c r="I26" s="55"/>
      <c r="J26" s="55"/>
      <c r="K26" s="55"/>
      <c r="L26" s="53"/>
      <c r="M26" s="53"/>
      <c r="N26" s="53"/>
      <c r="O26" s="53"/>
      <c r="P26" s="53"/>
      <c r="AC26" s="2" t="s">
        <v>100</v>
      </c>
      <c r="AD26" s="6" t="str">
        <f>C24</f>
        <v>Stern</v>
      </c>
      <c r="AH26">
        <f t="shared" si="5"/>
        <v>0</v>
      </c>
      <c r="AI26" t="s">
        <v>61</v>
      </c>
      <c r="AJ26" s="25">
        <v>0</v>
      </c>
      <c r="AK26" t="s">
        <v>44</v>
      </c>
      <c r="AL26">
        <f>IF(AI16&lt;=$AD$16,IF(AM26=1,0,1),0)</f>
        <v>1</v>
      </c>
      <c r="AM26">
        <f t="shared" si="6"/>
        <v>0</v>
      </c>
    </row>
    <row r="27" spans="1:47" ht="15.75" thickBot="1">
      <c r="A27" s="53"/>
      <c r="B27" s="53"/>
      <c r="C27" s="53"/>
      <c r="D27" s="53"/>
      <c r="E27" s="55"/>
      <c r="F27" s="55"/>
      <c r="G27" s="55"/>
      <c r="H27" s="55"/>
      <c r="I27" s="55"/>
      <c r="J27" s="55"/>
      <c r="K27" s="55"/>
      <c r="L27" s="53"/>
      <c r="M27" s="53"/>
      <c r="N27" s="53"/>
      <c r="O27" s="53"/>
      <c r="P27" s="53"/>
      <c r="AH27">
        <f t="shared" si="5"/>
        <v>0</v>
      </c>
      <c r="AI27" t="s">
        <v>62</v>
      </c>
      <c r="AJ27" s="26">
        <v>0</v>
      </c>
      <c r="AK27" t="s">
        <v>44</v>
      </c>
      <c r="AL27">
        <f>IF(AI16&lt;=$AD$16,IF(AM27=1,0,1),0)</f>
        <v>1</v>
      </c>
      <c r="AM27">
        <f t="shared" si="6"/>
        <v>0</v>
      </c>
    </row>
    <row r="28" spans="1:47" ht="15.75" thickTop="1">
      <c r="A28" s="53"/>
      <c r="B28" s="53"/>
      <c r="C28" s="53"/>
      <c r="D28" s="53"/>
      <c r="E28" s="53"/>
      <c r="F28" s="53"/>
      <c r="G28" s="53"/>
      <c r="H28" s="53"/>
      <c r="I28" s="53"/>
      <c r="J28" s="53"/>
      <c r="K28" s="53"/>
      <c r="L28" s="53"/>
      <c r="M28" s="53"/>
      <c r="N28" s="53"/>
      <c r="O28" s="53"/>
      <c r="P28" s="53"/>
      <c r="AI28" t="s">
        <v>42</v>
      </c>
      <c r="AJ28">
        <f>SUM(AJ17:AJ27)</f>
        <v>1</v>
      </c>
      <c r="AK28" t="s">
        <v>45</v>
      </c>
      <c r="AL28">
        <f>IF(AI16&lt;=$AD$16,1,0)</f>
        <v>1</v>
      </c>
    </row>
    <row r="29" spans="1:47">
      <c r="A29" s="53"/>
      <c r="B29" s="53"/>
      <c r="C29" s="53"/>
      <c r="D29" s="53"/>
      <c r="E29" s="53"/>
      <c r="F29" s="53"/>
      <c r="G29" s="53"/>
      <c r="H29" s="53"/>
      <c r="I29" s="53"/>
      <c r="J29" s="53"/>
      <c r="K29" s="53"/>
      <c r="L29" s="53"/>
      <c r="M29" s="53"/>
      <c r="N29" s="53"/>
      <c r="O29" s="53"/>
      <c r="P29" s="53"/>
      <c r="AD29" s="52" t="s">
        <v>111</v>
      </c>
    </row>
    <row r="30" spans="1:47" ht="15.75" thickBot="1">
      <c r="A30" s="53"/>
      <c r="B30" s="53"/>
      <c r="C30" s="53"/>
      <c r="D30" s="53"/>
      <c r="E30" s="53"/>
      <c r="F30" s="53"/>
      <c r="G30" s="53"/>
      <c r="H30" s="53"/>
      <c r="I30" s="53"/>
      <c r="J30" s="53"/>
      <c r="K30" s="53"/>
      <c r="L30" s="53"/>
      <c r="M30" s="53"/>
      <c r="N30" s="53"/>
      <c r="O30" s="53"/>
      <c r="P30" s="53"/>
      <c r="AI30">
        <f>1+AI16</f>
        <v>3</v>
      </c>
    </row>
    <row r="31" spans="1:47" ht="15.75" thickTop="1">
      <c r="A31" s="53"/>
      <c r="B31" s="53"/>
      <c r="C31" s="53"/>
      <c r="D31" s="53"/>
      <c r="E31" s="53"/>
      <c r="F31" s="53"/>
      <c r="G31" s="53"/>
      <c r="H31" s="53"/>
      <c r="I31" s="53"/>
      <c r="J31" s="53"/>
      <c r="K31" s="53"/>
      <c r="L31" s="53"/>
      <c r="M31" s="53"/>
      <c r="N31" s="53"/>
      <c r="O31" s="53"/>
      <c r="P31" s="53"/>
      <c r="AH31">
        <f t="shared" ref="AH31:AH41" si="7">AJ31</f>
        <v>0</v>
      </c>
      <c r="AI31" s="12" t="s">
        <v>57</v>
      </c>
      <c r="AJ31" s="24">
        <v>0</v>
      </c>
      <c r="AK31" t="s">
        <v>44</v>
      </c>
      <c r="AL31">
        <f>IF(AI30&lt;=$AD$16,IF(AM31=1,0,1),0)</f>
        <v>1</v>
      </c>
      <c r="AM31">
        <f>SUM(AJ17,AM17)</f>
        <v>0</v>
      </c>
    </row>
    <row r="32" spans="1:47">
      <c r="A32" s="53"/>
      <c r="B32" s="53"/>
      <c r="C32" s="53"/>
      <c r="D32" s="53"/>
      <c r="E32" s="53"/>
      <c r="F32" s="53"/>
      <c r="G32" s="53"/>
      <c r="H32" s="53"/>
      <c r="I32" s="53"/>
      <c r="J32" s="53"/>
      <c r="K32" s="53"/>
      <c r="L32" s="53"/>
      <c r="M32" s="53"/>
      <c r="N32" s="53"/>
      <c r="O32" s="53"/>
      <c r="P32" s="53"/>
      <c r="AH32">
        <f t="shared" si="7"/>
        <v>0</v>
      </c>
      <c r="AI32" s="12" t="s">
        <v>0</v>
      </c>
      <c r="AJ32" s="25">
        <v>0</v>
      </c>
      <c r="AK32" t="s">
        <v>44</v>
      </c>
      <c r="AL32">
        <f>IF(AI30&lt;=$AD$16,IF(AM32=1,0,1),0)</f>
        <v>0</v>
      </c>
      <c r="AM32">
        <f t="shared" ref="AM32:AM41" si="8">SUM(AJ18,AM18)</f>
        <v>1</v>
      </c>
    </row>
    <row r="33" spans="1:39">
      <c r="A33" s="53"/>
      <c r="B33" s="53"/>
      <c r="C33" s="53"/>
      <c r="D33" s="53"/>
      <c r="E33" s="53"/>
      <c r="F33" s="53"/>
      <c r="G33" s="53"/>
      <c r="H33" s="53"/>
      <c r="I33" s="53"/>
      <c r="J33" s="53"/>
      <c r="K33" s="53"/>
      <c r="L33" s="53"/>
      <c r="M33" s="53"/>
      <c r="N33" s="53"/>
      <c r="O33" s="53"/>
      <c r="P33" s="53"/>
      <c r="AH33">
        <f t="shared" si="7"/>
        <v>0</v>
      </c>
      <c r="AI33" t="s">
        <v>12</v>
      </c>
      <c r="AJ33" s="25">
        <v>0</v>
      </c>
      <c r="AK33" t="s">
        <v>44</v>
      </c>
      <c r="AL33">
        <f>IF(AI30&lt;=$AD$16,IF(AM33=1,0,1),0)</f>
        <v>1</v>
      </c>
      <c r="AM33">
        <f t="shared" si="8"/>
        <v>0</v>
      </c>
    </row>
    <row r="34" spans="1:39">
      <c r="A34" s="53"/>
      <c r="B34" s="53"/>
      <c r="C34" s="53"/>
      <c r="D34" s="53"/>
      <c r="E34" s="53"/>
      <c r="F34" s="53"/>
      <c r="G34" s="53"/>
      <c r="H34" s="53"/>
      <c r="I34" s="53"/>
      <c r="J34" s="53"/>
      <c r="K34" s="53"/>
      <c r="L34" s="53"/>
      <c r="M34" s="53"/>
      <c r="N34" s="53"/>
      <c r="O34" s="53"/>
      <c r="P34" s="53"/>
      <c r="AH34">
        <f t="shared" si="7"/>
        <v>0</v>
      </c>
      <c r="AI34" t="s">
        <v>58</v>
      </c>
      <c r="AJ34" s="25">
        <v>0</v>
      </c>
      <c r="AK34" t="s">
        <v>44</v>
      </c>
      <c r="AL34">
        <f>IF(AI30&lt;=$AD$16,IF(AM34=1,0,1),0)</f>
        <v>0</v>
      </c>
      <c r="AM34">
        <f t="shared" si="8"/>
        <v>1</v>
      </c>
    </row>
    <row r="35" spans="1:39">
      <c r="A35" s="53"/>
      <c r="B35" s="53"/>
      <c r="C35" s="53"/>
      <c r="D35" s="53"/>
      <c r="E35" s="53"/>
      <c r="F35" s="53"/>
      <c r="G35" s="53"/>
      <c r="H35" s="53"/>
      <c r="I35" s="53"/>
      <c r="J35" s="53"/>
      <c r="K35" s="53"/>
      <c r="L35" s="53"/>
      <c r="M35" s="53"/>
      <c r="N35" s="53"/>
      <c r="O35" s="53"/>
      <c r="P35" s="53"/>
      <c r="AH35">
        <f t="shared" si="7"/>
        <v>1</v>
      </c>
      <c r="AI35" t="s">
        <v>59</v>
      </c>
      <c r="AJ35" s="25">
        <v>1</v>
      </c>
      <c r="AK35" t="s">
        <v>44</v>
      </c>
      <c r="AL35">
        <f>IF(AI30&lt;=$AD$16,IF(AM35=1,0,1),0)</f>
        <v>1</v>
      </c>
      <c r="AM35">
        <f t="shared" si="8"/>
        <v>0</v>
      </c>
    </row>
    <row r="36" spans="1:39">
      <c r="A36" s="53"/>
      <c r="B36" s="53"/>
      <c r="C36" s="53"/>
      <c r="D36" s="53"/>
      <c r="E36" s="53"/>
      <c r="F36" s="53"/>
      <c r="G36" s="53"/>
      <c r="H36" s="53"/>
      <c r="I36" s="53"/>
      <c r="J36" s="53"/>
      <c r="K36" s="53"/>
      <c r="L36" s="53"/>
      <c r="M36" s="53"/>
      <c r="N36" s="53"/>
      <c r="O36" s="53"/>
      <c r="P36" s="53"/>
      <c r="AH36">
        <f t="shared" si="7"/>
        <v>0</v>
      </c>
      <c r="AI36" t="s">
        <v>60</v>
      </c>
      <c r="AJ36" s="25">
        <v>0</v>
      </c>
      <c r="AK36" t="s">
        <v>44</v>
      </c>
      <c r="AL36">
        <f>IF(AI30&lt;=$AD$16,IF(AM36=1,0,1),0)</f>
        <v>1</v>
      </c>
      <c r="AM36">
        <f t="shared" si="8"/>
        <v>0</v>
      </c>
    </row>
    <row r="37" spans="1:39">
      <c r="A37" s="53"/>
      <c r="B37" s="53"/>
      <c r="C37" s="53"/>
      <c r="D37" s="53"/>
      <c r="E37" s="53"/>
      <c r="F37" s="53"/>
      <c r="G37" s="53"/>
      <c r="H37" s="53"/>
      <c r="I37" s="53"/>
      <c r="J37" s="53"/>
      <c r="K37" s="53"/>
      <c r="L37" s="53"/>
      <c r="M37" s="53"/>
      <c r="N37" s="53"/>
      <c r="O37" s="53"/>
      <c r="P37" s="53"/>
      <c r="AH37">
        <f t="shared" si="7"/>
        <v>0</v>
      </c>
      <c r="AI37" t="s">
        <v>13</v>
      </c>
      <c r="AJ37" s="25">
        <v>0</v>
      </c>
      <c r="AK37" t="s">
        <v>44</v>
      </c>
      <c r="AL37">
        <f>IF(AI30&lt;=$AD$16,IF(AM37=1,0,1),0)</f>
        <v>1</v>
      </c>
      <c r="AM37">
        <f t="shared" si="8"/>
        <v>0</v>
      </c>
    </row>
    <row r="38" spans="1:39">
      <c r="A38" s="53"/>
      <c r="B38" s="53"/>
      <c r="C38" s="53"/>
      <c r="D38" s="53"/>
      <c r="E38" s="53"/>
      <c r="F38" s="53"/>
      <c r="G38" s="53"/>
      <c r="H38" s="53"/>
      <c r="I38" s="53"/>
      <c r="J38" s="53"/>
      <c r="K38" s="53"/>
      <c r="L38" s="53"/>
      <c r="M38" s="53"/>
      <c r="N38" s="53"/>
      <c r="O38" s="53"/>
      <c r="P38" s="53"/>
      <c r="AH38">
        <f t="shared" si="7"/>
        <v>0</v>
      </c>
      <c r="AI38" t="s">
        <v>15</v>
      </c>
      <c r="AJ38" s="25">
        <v>0</v>
      </c>
      <c r="AK38" t="s">
        <v>44</v>
      </c>
      <c r="AL38">
        <f>IF(AI30&lt;=$AD$16,IF(AM38=1,0,1),0)</f>
        <v>1</v>
      </c>
      <c r="AM38">
        <f t="shared" si="8"/>
        <v>0</v>
      </c>
    </row>
    <row r="39" spans="1:39">
      <c r="A39" s="53"/>
      <c r="B39" s="53"/>
      <c r="C39" s="53"/>
      <c r="D39" s="53"/>
      <c r="E39" s="53"/>
      <c r="F39" s="53"/>
      <c r="G39" s="53"/>
      <c r="H39" s="53"/>
      <c r="I39" s="53"/>
      <c r="J39" s="53"/>
      <c r="K39" s="53"/>
      <c r="L39" s="53"/>
      <c r="M39" s="53"/>
      <c r="N39" s="53"/>
      <c r="O39" s="53"/>
      <c r="P39" s="53"/>
      <c r="AH39">
        <f t="shared" si="7"/>
        <v>0</v>
      </c>
      <c r="AI39" t="s">
        <v>14</v>
      </c>
      <c r="AJ39" s="25">
        <v>0</v>
      </c>
      <c r="AK39" t="s">
        <v>44</v>
      </c>
      <c r="AL39">
        <f>IF(AI30&lt;=$AD$16,IF(AM39=1,0,1),0)</f>
        <v>1</v>
      </c>
      <c r="AM39">
        <f t="shared" si="8"/>
        <v>0</v>
      </c>
    </row>
    <row r="40" spans="1:39">
      <c r="A40" s="53"/>
      <c r="B40" s="53"/>
      <c r="C40" s="53"/>
      <c r="D40" s="53"/>
      <c r="E40" s="53"/>
      <c r="F40" s="53"/>
      <c r="G40" s="53"/>
      <c r="H40" s="53"/>
      <c r="I40" s="53"/>
      <c r="J40" s="53"/>
      <c r="K40" s="53"/>
      <c r="L40" s="53"/>
      <c r="M40" s="53"/>
      <c r="N40" s="53"/>
      <c r="O40" s="53"/>
      <c r="P40" s="53"/>
      <c r="AH40">
        <f t="shared" si="7"/>
        <v>0</v>
      </c>
      <c r="AI40" t="s">
        <v>61</v>
      </c>
      <c r="AJ40" s="25">
        <v>0</v>
      </c>
      <c r="AK40" t="s">
        <v>44</v>
      </c>
      <c r="AL40">
        <f>IF(AI30&lt;=$AD$16,IF(AM40=1,0,1),0)</f>
        <v>1</v>
      </c>
      <c r="AM40">
        <f t="shared" si="8"/>
        <v>0</v>
      </c>
    </row>
    <row r="41" spans="1:39" ht="15.75" thickBot="1">
      <c r="A41" s="53"/>
      <c r="B41" s="53"/>
      <c r="C41" s="53"/>
      <c r="D41" s="53"/>
      <c r="E41" s="53"/>
      <c r="F41" s="53"/>
      <c r="G41" s="53"/>
      <c r="H41" s="53"/>
      <c r="I41" s="53"/>
      <c r="J41" s="53"/>
      <c r="K41" s="53"/>
      <c r="L41" s="53"/>
      <c r="M41" s="53"/>
      <c r="N41" s="53"/>
      <c r="O41" s="53"/>
      <c r="P41" s="53"/>
      <c r="AH41">
        <f t="shared" si="7"/>
        <v>0</v>
      </c>
      <c r="AI41" t="s">
        <v>62</v>
      </c>
      <c r="AJ41" s="26">
        <v>0</v>
      </c>
      <c r="AK41" t="s">
        <v>44</v>
      </c>
      <c r="AL41">
        <f>IF(AI30&lt;=$AD$16,IF(AM41=1,0,1),0)</f>
        <v>1</v>
      </c>
      <c r="AM41">
        <f t="shared" si="8"/>
        <v>0</v>
      </c>
    </row>
    <row r="42" spans="1:39" ht="15.75" thickTop="1">
      <c r="A42" s="53"/>
      <c r="B42" s="53"/>
      <c r="C42" s="53"/>
      <c r="D42" s="53"/>
      <c r="E42" s="53"/>
      <c r="F42" s="53"/>
      <c r="G42" s="53"/>
      <c r="H42" s="53"/>
      <c r="I42" s="53"/>
      <c r="J42" s="53"/>
      <c r="K42" s="53"/>
      <c r="L42" s="53"/>
      <c r="M42" s="53"/>
      <c r="N42" s="53"/>
      <c r="O42" s="53"/>
      <c r="P42" s="53"/>
      <c r="AI42" t="s">
        <v>42</v>
      </c>
      <c r="AJ42">
        <f>SUM(AJ31:AJ41)</f>
        <v>1</v>
      </c>
      <c r="AK42" t="s">
        <v>45</v>
      </c>
      <c r="AL42">
        <f>IF(AI30&lt;=$AD$16,1,0)</f>
        <v>1</v>
      </c>
    </row>
    <row r="43" spans="1:39">
      <c r="A43" s="53"/>
      <c r="B43" s="53"/>
      <c r="C43" s="53"/>
      <c r="D43" s="53"/>
      <c r="E43" s="53"/>
      <c r="F43" s="53"/>
      <c r="G43" s="53"/>
      <c r="H43" s="53"/>
      <c r="I43" s="53"/>
      <c r="J43" s="53"/>
      <c r="K43" s="53"/>
      <c r="L43" s="53"/>
      <c r="M43" s="53"/>
      <c r="N43" s="53"/>
      <c r="O43" s="53"/>
      <c r="P43" s="53"/>
      <c r="AH43" s="9"/>
      <c r="AI43" s="9"/>
      <c r="AJ43" s="9"/>
      <c r="AK43" s="9"/>
      <c r="AL43" s="9"/>
      <c r="AM43" s="9"/>
    </row>
    <row r="44" spans="1:39" ht="15.75" thickBot="1">
      <c r="A44" s="53"/>
      <c r="B44" s="53"/>
      <c r="C44" s="53"/>
      <c r="D44" s="53"/>
      <c r="E44" s="53"/>
      <c r="F44" s="53"/>
      <c r="G44" s="53"/>
      <c r="H44" s="53"/>
      <c r="I44" s="53"/>
      <c r="J44" s="53"/>
      <c r="K44" s="53"/>
      <c r="L44" s="53"/>
      <c r="M44" s="53"/>
      <c r="N44" s="53"/>
      <c r="O44" s="53"/>
      <c r="P44" s="53"/>
      <c r="AI44">
        <f>1+AI30</f>
        <v>4</v>
      </c>
    </row>
    <row r="45" spans="1:39" ht="15.75" thickTop="1">
      <c r="A45" s="53"/>
      <c r="B45" s="53"/>
      <c r="C45" s="53"/>
      <c r="D45" s="53"/>
      <c r="E45" s="53"/>
      <c r="F45" s="53"/>
      <c r="G45" s="53"/>
      <c r="H45" s="53"/>
      <c r="I45" s="53"/>
      <c r="J45" s="53"/>
      <c r="K45" s="53"/>
      <c r="L45" s="53"/>
      <c r="M45" s="53"/>
      <c r="N45" s="53"/>
      <c r="O45" s="53"/>
      <c r="P45" s="53"/>
      <c r="AH45">
        <f t="shared" ref="AH45:AH55" si="9">AJ45</f>
        <v>0</v>
      </c>
      <c r="AI45" s="12" t="s">
        <v>57</v>
      </c>
      <c r="AJ45" s="24">
        <v>0</v>
      </c>
      <c r="AK45" t="s">
        <v>44</v>
      </c>
      <c r="AL45">
        <f>IF(AI44&lt;=$AD$16,IF(AM45=1,0,1),0)</f>
        <v>1</v>
      </c>
      <c r="AM45">
        <f>SUM(AJ31,AM31)</f>
        <v>0</v>
      </c>
    </row>
    <row r="46" spans="1:39">
      <c r="A46" s="53"/>
      <c r="B46" s="53"/>
      <c r="C46" s="53"/>
      <c r="D46" s="53"/>
      <c r="E46" s="53"/>
      <c r="F46" s="53"/>
      <c r="G46" s="53"/>
      <c r="H46" s="53"/>
      <c r="I46" s="53"/>
      <c r="J46" s="53"/>
      <c r="K46" s="53"/>
      <c r="L46" s="53"/>
      <c r="M46" s="53"/>
      <c r="N46" s="53"/>
      <c r="O46" s="53"/>
      <c r="P46" s="53"/>
      <c r="AH46">
        <f t="shared" si="9"/>
        <v>0</v>
      </c>
      <c r="AI46" s="12" t="s">
        <v>0</v>
      </c>
      <c r="AJ46" s="25">
        <v>0</v>
      </c>
      <c r="AK46" t="s">
        <v>44</v>
      </c>
      <c r="AL46">
        <f>IF(AI44&lt;=$AD$16,IF(AM46=1,0,1),0)</f>
        <v>0</v>
      </c>
      <c r="AM46">
        <f t="shared" ref="AM46:AM55" si="10">SUM(AJ32,AM32)</f>
        <v>1</v>
      </c>
    </row>
    <row r="47" spans="1:39">
      <c r="A47" s="53"/>
      <c r="B47" s="53"/>
      <c r="C47" s="53"/>
      <c r="D47" s="53"/>
      <c r="E47" s="53"/>
      <c r="F47" s="53"/>
      <c r="G47" s="53"/>
      <c r="H47" s="53"/>
      <c r="I47" s="53"/>
      <c r="J47" s="53"/>
      <c r="K47" s="53"/>
      <c r="L47" s="53"/>
      <c r="M47" s="53"/>
      <c r="N47" s="53"/>
      <c r="O47" s="53"/>
      <c r="P47" s="53"/>
      <c r="AH47">
        <f t="shared" si="9"/>
        <v>0</v>
      </c>
      <c r="AI47" t="s">
        <v>12</v>
      </c>
      <c r="AJ47" s="25">
        <v>0</v>
      </c>
      <c r="AK47" t="s">
        <v>44</v>
      </c>
      <c r="AL47">
        <f>IF(AI44&lt;=$AD$16,IF(AM47=1,0,1),0)</f>
        <v>1</v>
      </c>
      <c r="AM47">
        <f t="shared" si="10"/>
        <v>0</v>
      </c>
    </row>
    <row r="48" spans="1:39">
      <c r="A48" s="53"/>
      <c r="B48" s="53"/>
      <c r="C48" s="53"/>
      <c r="D48" s="53"/>
      <c r="E48" s="53"/>
      <c r="F48" s="53"/>
      <c r="G48" s="53"/>
      <c r="H48" s="53"/>
      <c r="I48" s="53"/>
      <c r="J48" s="53"/>
      <c r="K48" s="53"/>
      <c r="L48" s="53"/>
      <c r="M48" s="53"/>
      <c r="N48" s="53"/>
      <c r="O48" s="53"/>
      <c r="P48" s="53"/>
      <c r="AH48">
        <f t="shared" si="9"/>
        <v>0</v>
      </c>
      <c r="AI48" t="s">
        <v>58</v>
      </c>
      <c r="AJ48" s="25">
        <v>0</v>
      </c>
      <c r="AK48" t="s">
        <v>44</v>
      </c>
      <c r="AL48">
        <f>IF(AI44&lt;=$AD$16,IF(AM48=1,0,1),0)</f>
        <v>0</v>
      </c>
      <c r="AM48">
        <f t="shared" si="10"/>
        <v>1</v>
      </c>
    </row>
    <row r="49" spans="1:39">
      <c r="A49" s="53"/>
      <c r="B49" s="53"/>
      <c r="C49" s="53"/>
      <c r="D49" s="53"/>
      <c r="E49" s="53"/>
      <c r="F49" s="53"/>
      <c r="G49" s="53"/>
      <c r="H49" s="53"/>
      <c r="I49" s="53"/>
      <c r="J49" s="53"/>
      <c r="K49" s="53"/>
      <c r="L49" s="53"/>
      <c r="M49" s="53"/>
      <c r="N49" s="53"/>
      <c r="O49" s="53"/>
      <c r="P49" s="53"/>
      <c r="AH49">
        <f t="shared" si="9"/>
        <v>0</v>
      </c>
      <c r="AI49" t="s">
        <v>59</v>
      </c>
      <c r="AJ49" s="25">
        <v>0</v>
      </c>
      <c r="AK49" t="s">
        <v>44</v>
      </c>
      <c r="AL49">
        <f>IF(AI44&lt;=$AD$16,IF(AM49=1,0,1),0)</f>
        <v>0</v>
      </c>
      <c r="AM49">
        <f t="shared" si="10"/>
        <v>1</v>
      </c>
    </row>
    <row r="50" spans="1:39">
      <c r="A50" s="60"/>
      <c r="B50" s="60"/>
      <c r="C50" s="60"/>
      <c r="D50" s="60"/>
      <c r="E50" s="60"/>
      <c r="F50" s="53"/>
      <c r="G50" s="53"/>
      <c r="H50" s="53"/>
      <c r="I50" s="53"/>
      <c r="J50" s="53"/>
      <c r="K50" s="53"/>
      <c r="L50" s="53"/>
      <c r="M50" s="53"/>
      <c r="N50" s="53"/>
      <c r="O50" s="53"/>
      <c r="P50" s="53"/>
      <c r="AH50">
        <f t="shared" si="9"/>
        <v>0</v>
      </c>
      <c r="AI50" t="s">
        <v>60</v>
      </c>
      <c r="AJ50" s="25">
        <v>0</v>
      </c>
      <c r="AK50" t="s">
        <v>44</v>
      </c>
      <c r="AL50">
        <f>IF(AI44&lt;=$AD$16,IF(AM50=1,0,1),0)</f>
        <v>1</v>
      </c>
      <c r="AM50">
        <f t="shared" si="10"/>
        <v>0</v>
      </c>
    </row>
    <row r="51" spans="1:39">
      <c r="A51" s="60"/>
      <c r="B51" s="60"/>
      <c r="C51" s="61" t="s">
        <v>111</v>
      </c>
      <c r="D51" s="60">
        <v>1</v>
      </c>
      <c r="E51" s="60"/>
      <c r="F51" s="60"/>
      <c r="G51" s="60"/>
      <c r="H51" s="60"/>
      <c r="I51" s="60"/>
      <c r="J51" s="60"/>
      <c r="K51" s="60"/>
      <c r="L51" s="53"/>
      <c r="M51" s="53"/>
      <c r="N51" s="53"/>
      <c r="O51" s="53"/>
      <c r="P51" s="53"/>
      <c r="AH51">
        <f t="shared" si="9"/>
        <v>0</v>
      </c>
      <c r="AI51" t="s">
        <v>13</v>
      </c>
      <c r="AJ51" s="25">
        <v>0</v>
      </c>
      <c r="AK51" t="s">
        <v>44</v>
      </c>
      <c r="AL51">
        <f>IF(AI44&lt;=$AD$16,IF(AM51=1,0,1),0)</f>
        <v>1</v>
      </c>
      <c r="AM51">
        <f t="shared" si="10"/>
        <v>0</v>
      </c>
    </row>
    <row r="52" spans="1:39">
      <c r="A52" s="60"/>
      <c r="B52" s="60"/>
      <c r="C52" s="60"/>
      <c r="D52" s="60">
        <v>2</v>
      </c>
      <c r="E52" s="60"/>
      <c r="F52" s="60" t="s">
        <v>84</v>
      </c>
      <c r="G52" s="60"/>
      <c r="H52" s="60"/>
      <c r="I52" s="60"/>
      <c r="J52" s="60"/>
      <c r="K52" s="60"/>
      <c r="L52" s="53"/>
      <c r="M52" s="53"/>
      <c r="N52" s="53"/>
      <c r="O52" s="53"/>
      <c r="P52" s="53"/>
      <c r="AH52">
        <f t="shared" si="9"/>
        <v>0</v>
      </c>
      <c r="AI52" t="s">
        <v>15</v>
      </c>
      <c r="AJ52" s="25">
        <v>0</v>
      </c>
      <c r="AK52" t="s">
        <v>44</v>
      </c>
      <c r="AL52">
        <f>IF(AI44&lt;=$AD$16,IF(AM52=1,0,1),0)</f>
        <v>1</v>
      </c>
      <c r="AM52">
        <f t="shared" si="10"/>
        <v>0</v>
      </c>
    </row>
    <row r="53" spans="1:39">
      <c r="A53" s="60"/>
      <c r="B53" s="60"/>
      <c r="C53" s="60"/>
      <c r="D53" s="60">
        <v>3</v>
      </c>
      <c r="E53" s="60"/>
      <c r="F53" s="60" t="s">
        <v>85</v>
      </c>
      <c r="G53" s="60"/>
      <c r="H53" s="60"/>
      <c r="I53" s="60"/>
      <c r="J53" s="60"/>
      <c r="K53" s="60"/>
      <c r="L53" s="53"/>
      <c r="M53" s="53"/>
      <c r="N53" s="53"/>
      <c r="O53" s="53"/>
      <c r="P53" s="53"/>
      <c r="AH53">
        <f t="shared" si="9"/>
        <v>0</v>
      </c>
      <c r="AI53" t="s">
        <v>14</v>
      </c>
      <c r="AJ53" s="25">
        <v>0</v>
      </c>
      <c r="AK53" t="s">
        <v>44</v>
      </c>
      <c r="AL53">
        <f>IF(AI44&lt;=$AD$16,IF(AM53=1,0,1),0)</f>
        <v>1</v>
      </c>
      <c r="AM53">
        <f t="shared" si="10"/>
        <v>0</v>
      </c>
    </row>
    <row r="54" spans="1:39">
      <c r="A54" s="60"/>
      <c r="B54" s="60"/>
      <c r="C54" s="60"/>
      <c r="D54" s="60">
        <v>4</v>
      </c>
      <c r="E54" s="60"/>
      <c r="F54" s="60" t="s">
        <v>86</v>
      </c>
      <c r="G54" s="60"/>
      <c r="H54" s="60"/>
      <c r="I54" s="60"/>
      <c r="J54" s="60"/>
      <c r="K54" s="60"/>
      <c r="L54" s="53"/>
      <c r="M54" s="53"/>
      <c r="N54" s="53"/>
      <c r="O54" s="53"/>
      <c r="P54" s="53"/>
      <c r="AH54">
        <f t="shared" si="9"/>
        <v>1</v>
      </c>
      <c r="AI54" t="s">
        <v>61</v>
      </c>
      <c r="AJ54" s="25">
        <v>1</v>
      </c>
      <c r="AK54" t="s">
        <v>44</v>
      </c>
      <c r="AL54">
        <f>IF(AI44&lt;=$AD$16,IF(AM54=1,0,1),0)</f>
        <v>1</v>
      </c>
      <c r="AM54">
        <f t="shared" si="10"/>
        <v>0</v>
      </c>
    </row>
    <row r="55" spans="1:39" ht="15.75" thickBot="1">
      <c r="A55" s="60"/>
      <c r="B55" s="60"/>
      <c r="C55" s="60"/>
      <c r="D55" s="60">
        <v>5</v>
      </c>
      <c r="E55" s="60"/>
      <c r="F55" s="60"/>
      <c r="G55" s="60"/>
      <c r="H55" s="60"/>
      <c r="I55" s="60"/>
      <c r="J55" s="60"/>
      <c r="K55" s="60"/>
      <c r="L55" s="53"/>
      <c r="M55" s="53"/>
      <c r="N55" s="53"/>
      <c r="O55" s="53"/>
      <c r="P55" s="53"/>
      <c r="AH55">
        <f t="shared" si="9"/>
        <v>0</v>
      </c>
      <c r="AI55" t="s">
        <v>62</v>
      </c>
      <c r="AJ55" s="26">
        <v>0</v>
      </c>
      <c r="AK55" t="s">
        <v>44</v>
      </c>
      <c r="AL55">
        <f>IF(AI44&lt;=$AD$16,IF(AM55=1,0,1),0)</f>
        <v>1</v>
      </c>
      <c r="AM55">
        <f t="shared" si="10"/>
        <v>0</v>
      </c>
    </row>
    <row r="56" spans="1:39" ht="15.75" thickTop="1">
      <c r="A56" s="60"/>
      <c r="B56" s="60"/>
      <c r="C56" s="60"/>
      <c r="D56" s="60">
        <v>6</v>
      </c>
      <c r="E56" s="60"/>
      <c r="F56" s="60"/>
      <c r="G56" s="60"/>
      <c r="H56" s="60"/>
      <c r="I56" s="60"/>
      <c r="J56" s="60"/>
      <c r="K56" s="60"/>
      <c r="AI56" t="s">
        <v>42</v>
      </c>
      <c r="AJ56">
        <f>SUM(AJ45:AJ55)</f>
        <v>1</v>
      </c>
      <c r="AK56" t="s">
        <v>45</v>
      </c>
      <c r="AL56">
        <f>IF(AI44&lt;=$AD$16,1,0)</f>
        <v>1</v>
      </c>
    </row>
    <row r="57" spans="1:39">
      <c r="F57" s="60"/>
      <c r="G57" s="60"/>
      <c r="H57" s="60"/>
      <c r="I57" s="60"/>
      <c r="J57" s="60"/>
      <c r="K57" s="60"/>
      <c r="AH57" s="9"/>
      <c r="AI57" s="9"/>
      <c r="AJ57" s="9"/>
      <c r="AK57" s="9"/>
      <c r="AL57" s="9"/>
      <c r="AM57" s="9"/>
    </row>
    <row r="58" spans="1:39" ht="15.75" thickBot="1">
      <c r="AI58">
        <f>1+AI44</f>
        <v>5</v>
      </c>
    </row>
    <row r="59" spans="1:39" ht="15.75" thickTop="1">
      <c r="AH59">
        <f t="shared" ref="AH59:AH69" si="11">AJ59</f>
        <v>0</v>
      </c>
      <c r="AI59" s="12" t="s">
        <v>57</v>
      </c>
      <c r="AJ59" s="24">
        <v>0</v>
      </c>
      <c r="AK59" t="s">
        <v>44</v>
      </c>
      <c r="AL59">
        <f>IF(AI58&lt;=$AD$16,IF(AM59=1,0,1),0)</f>
        <v>0</v>
      </c>
      <c r="AM59">
        <f>SUM(AJ45,AM45)</f>
        <v>0</v>
      </c>
    </row>
    <row r="60" spans="1:39">
      <c r="AH60">
        <f t="shared" si="11"/>
        <v>0</v>
      </c>
      <c r="AI60" s="12" t="s">
        <v>0</v>
      </c>
      <c r="AJ60" s="25">
        <v>0</v>
      </c>
      <c r="AK60" t="s">
        <v>44</v>
      </c>
      <c r="AL60">
        <f>IF(AI58&lt;=$AD$16,IF(AM60=1,0,1),0)</f>
        <v>0</v>
      </c>
      <c r="AM60">
        <f t="shared" ref="AM60:AM69" si="12">SUM(AJ46,AM46)</f>
        <v>1</v>
      </c>
    </row>
    <row r="61" spans="1:39">
      <c r="AH61">
        <f t="shared" si="11"/>
        <v>0</v>
      </c>
      <c r="AI61" t="s">
        <v>12</v>
      </c>
      <c r="AJ61" s="25">
        <v>0</v>
      </c>
      <c r="AK61" t="s">
        <v>44</v>
      </c>
      <c r="AL61">
        <f>IF(AI58&lt;=$AD$16,IF(AM61=1,0,1),0)</f>
        <v>0</v>
      </c>
      <c r="AM61">
        <f t="shared" si="12"/>
        <v>0</v>
      </c>
    </row>
    <row r="62" spans="1:39">
      <c r="AH62">
        <f t="shared" si="11"/>
        <v>0</v>
      </c>
      <c r="AI62" t="s">
        <v>58</v>
      </c>
      <c r="AJ62" s="25">
        <v>0</v>
      </c>
      <c r="AK62" t="s">
        <v>44</v>
      </c>
      <c r="AL62">
        <f>IF(AI58&lt;=$AD$16,IF(AM62=1,0,1),0)</f>
        <v>0</v>
      </c>
      <c r="AM62">
        <f t="shared" si="12"/>
        <v>1</v>
      </c>
    </row>
    <row r="63" spans="1:39">
      <c r="AH63">
        <f t="shared" si="11"/>
        <v>0</v>
      </c>
      <c r="AI63" t="s">
        <v>59</v>
      </c>
      <c r="AJ63" s="25">
        <v>0</v>
      </c>
      <c r="AK63" t="s">
        <v>44</v>
      </c>
      <c r="AL63">
        <f>IF(AI58&lt;=$AD$16,IF(AM63=1,0,1),0)</f>
        <v>0</v>
      </c>
      <c r="AM63">
        <f t="shared" si="12"/>
        <v>1</v>
      </c>
    </row>
    <row r="64" spans="1:39">
      <c r="AH64">
        <f t="shared" si="11"/>
        <v>0</v>
      </c>
      <c r="AI64" t="s">
        <v>60</v>
      </c>
      <c r="AJ64" s="25">
        <v>0</v>
      </c>
      <c r="AK64" t="s">
        <v>44</v>
      </c>
      <c r="AL64">
        <f>IF(AI58&lt;=$AD$16,IF(AM64=1,0,1),0)</f>
        <v>0</v>
      </c>
      <c r="AM64">
        <f t="shared" si="12"/>
        <v>0</v>
      </c>
    </row>
    <row r="65" spans="34:39">
      <c r="AH65">
        <f t="shared" si="11"/>
        <v>0</v>
      </c>
      <c r="AI65" t="s">
        <v>13</v>
      </c>
      <c r="AJ65" s="25">
        <v>0</v>
      </c>
      <c r="AK65" t="s">
        <v>44</v>
      </c>
      <c r="AL65">
        <f>IF(AI58&lt;=$AD$16,IF(AM65=1,0,1),0)</f>
        <v>0</v>
      </c>
      <c r="AM65">
        <f t="shared" si="12"/>
        <v>0</v>
      </c>
    </row>
    <row r="66" spans="34:39">
      <c r="AH66">
        <f t="shared" si="11"/>
        <v>0</v>
      </c>
      <c r="AI66" t="s">
        <v>15</v>
      </c>
      <c r="AJ66" s="25">
        <v>0</v>
      </c>
      <c r="AK66" t="s">
        <v>44</v>
      </c>
      <c r="AL66">
        <f>IF(AI58&lt;=$AD$16,IF(AM66=1,0,1),0)</f>
        <v>0</v>
      </c>
      <c r="AM66">
        <f t="shared" si="12"/>
        <v>0</v>
      </c>
    </row>
    <row r="67" spans="34:39">
      <c r="AH67">
        <f t="shared" si="11"/>
        <v>0</v>
      </c>
      <c r="AI67" t="s">
        <v>14</v>
      </c>
      <c r="AJ67" s="25">
        <v>0</v>
      </c>
      <c r="AK67" t="s">
        <v>44</v>
      </c>
      <c r="AL67">
        <f>IF(AI58&lt;=$AD$16,IF(AM67=1,0,1),0)</f>
        <v>0</v>
      </c>
      <c r="AM67">
        <f t="shared" si="12"/>
        <v>0</v>
      </c>
    </row>
    <row r="68" spans="34:39">
      <c r="AH68">
        <f t="shared" si="11"/>
        <v>0</v>
      </c>
      <c r="AI68" t="s">
        <v>61</v>
      </c>
      <c r="AJ68" s="25">
        <v>0</v>
      </c>
      <c r="AK68" t="s">
        <v>44</v>
      </c>
      <c r="AL68">
        <f>IF(AI58&lt;=$AD$16,IF(AM68=1,0,1),0)</f>
        <v>0</v>
      </c>
      <c r="AM68">
        <f t="shared" si="12"/>
        <v>1</v>
      </c>
    </row>
    <row r="69" spans="34:39" ht="15.75" thickBot="1">
      <c r="AH69">
        <f t="shared" si="11"/>
        <v>0</v>
      </c>
      <c r="AI69" t="s">
        <v>62</v>
      </c>
      <c r="AJ69" s="26">
        <v>0</v>
      </c>
      <c r="AK69" t="s">
        <v>44</v>
      </c>
      <c r="AL69">
        <f>IF(AI58&lt;=$AD$16,IF(AM69=1,0,1),0)</f>
        <v>0</v>
      </c>
      <c r="AM69">
        <f t="shared" si="12"/>
        <v>0</v>
      </c>
    </row>
    <row r="70" spans="34:39" ht="15.75" thickTop="1">
      <c r="AI70" t="s">
        <v>42</v>
      </c>
      <c r="AJ70">
        <f>SUM(AJ59:AJ69)</f>
        <v>0</v>
      </c>
      <c r="AK70" t="s">
        <v>45</v>
      </c>
      <c r="AL70">
        <f>IF(AI58&lt;=$AD$16,1,0)</f>
        <v>0</v>
      </c>
    </row>
    <row r="72" spans="34:39" ht="15.75" thickBot="1">
      <c r="AI72">
        <f>1+AI58</f>
        <v>6</v>
      </c>
    </row>
    <row r="73" spans="34:39" ht="15.75" thickTop="1">
      <c r="AH73">
        <f t="shared" ref="AH73:AH83" si="13">AJ73</f>
        <v>0</v>
      </c>
      <c r="AI73" s="12" t="s">
        <v>57</v>
      </c>
      <c r="AJ73" s="24">
        <v>0</v>
      </c>
      <c r="AK73" t="s">
        <v>44</v>
      </c>
      <c r="AL73">
        <f>IF(AI72&lt;=$AD$16,IF(AM73=1,0,1),0)</f>
        <v>0</v>
      </c>
      <c r="AM73">
        <f>SUM(AJ59,AM59)</f>
        <v>0</v>
      </c>
    </row>
    <row r="74" spans="34:39">
      <c r="AH74">
        <f t="shared" si="13"/>
        <v>0</v>
      </c>
      <c r="AI74" s="12" t="s">
        <v>0</v>
      </c>
      <c r="AJ74" s="25">
        <v>0</v>
      </c>
      <c r="AK74" t="s">
        <v>44</v>
      </c>
      <c r="AL74">
        <f>IF(AI72&lt;=$AD$16,IF(AM74=1,0,1),0)</f>
        <v>0</v>
      </c>
      <c r="AM74">
        <f t="shared" ref="AM74:AM83" si="14">SUM(AJ60,AM60)</f>
        <v>1</v>
      </c>
    </row>
    <row r="75" spans="34:39">
      <c r="AH75">
        <f t="shared" si="13"/>
        <v>0</v>
      </c>
      <c r="AI75" t="s">
        <v>12</v>
      </c>
      <c r="AJ75" s="25">
        <v>0</v>
      </c>
      <c r="AK75" t="s">
        <v>44</v>
      </c>
      <c r="AL75">
        <f>IF(AI72&lt;=$AD$16,IF(AM75=1,0,1),0)</f>
        <v>0</v>
      </c>
      <c r="AM75">
        <f t="shared" si="14"/>
        <v>0</v>
      </c>
    </row>
    <row r="76" spans="34:39">
      <c r="AH76">
        <f t="shared" si="13"/>
        <v>0</v>
      </c>
      <c r="AI76" t="s">
        <v>58</v>
      </c>
      <c r="AJ76" s="25">
        <v>0</v>
      </c>
      <c r="AK76" t="s">
        <v>44</v>
      </c>
      <c r="AL76">
        <f>IF(AI72&lt;=$AD$16,IF(AM76=1,0,1),0)</f>
        <v>0</v>
      </c>
      <c r="AM76">
        <f t="shared" si="14"/>
        <v>1</v>
      </c>
    </row>
    <row r="77" spans="34:39">
      <c r="AH77">
        <f t="shared" si="13"/>
        <v>0</v>
      </c>
      <c r="AI77" t="s">
        <v>59</v>
      </c>
      <c r="AJ77" s="25">
        <v>0</v>
      </c>
      <c r="AK77" t="s">
        <v>44</v>
      </c>
      <c r="AL77">
        <f>IF(AI72&lt;=$AD$16,IF(AM77=1,0,1),0)</f>
        <v>0</v>
      </c>
      <c r="AM77">
        <f t="shared" si="14"/>
        <v>1</v>
      </c>
    </row>
    <row r="78" spans="34:39">
      <c r="AH78">
        <f t="shared" si="13"/>
        <v>0</v>
      </c>
      <c r="AI78" t="s">
        <v>60</v>
      </c>
      <c r="AJ78" s="25">
        <v>0</v>
      </c>
      <c r="AK78" t="s">
        <v>44</v>
      </c>
      <c r="AL78">
        <f>IF(AI72&lt;=$AD$16,IF(AM78=1,0,1),0)</f>
        <v>0</v>
      </c>
      <c r="AM78">
        <f t="shared" si="14"/>
        <v>0</v>
      </c>
    </row>
    <row r="79" spans="34:39">
      <c r="AH79">
        <f t="shared" si="13"/>
        <v>0</v>
      </c>
      <c r="AI79" t="s">
        <v>13</v>
      </c>
      <c r="AJ79" s="25">
        <v>0</v>
      </c>
      <c r="AK79" t="s">
        <v>44</v>
      </c>
      <c r="AL79">
        <f>IF(AI72&lt;=$AD$16,IF(AM79=1,0,1),0)</f>
        <v>0</v>
      </c>
      <c r="AM79">
        <f t="shared" si="14"/>
        <v>0</v>
      </c>
    </row>
    <row r="80" spans="34:39">
      <c r="AH80">
        <f t="shared" si="13"/>
        <v>0</v>
      </c>
      <c r="AI80" t="s">
        <v>15</v>
      </c>
      <c r="AJ80" s="25">
        <v>0</v>
      </c>
      <c r="AK80" t="s">
        <v>44</v>
      </c>
      <c r="AL80">
        <f>IF(AI72&lt;=$AD$16,IF(AM80=1,0,1),0)</f>
        <v>0</v>
      </c>
      <c r="AM80">
        <f t="shared" si="14"/>
        <v>0</v>
      </c>
    </row>
    <row r="81" spans="34:39">
      <c r="AH81">
        <f t="shared" si="13"/>
        <v>0</v>
      </c>
      <c r="AI81" t="s">
        <v>14</v>
      </c>
      <c r="AJ81" s="25">
        <v>0</v>
      </c>
      <c r="AK81" t="s">
        <v>44</v>
      </c>
      <c r="AL81">
        <f>IF(AI72&lt;=$AD$16,IF(AM81=1,0,1),0)</f>
        <v>0</v>
      </c>
      <c r="AM81">
        <f t="shared" si="14"/>
        <v>0</v>
      </c>
    </row>
    <row r="82" spans="34:39">
      <c r="AH82">
        <f t="shared" si="13"/>
        <v>0</v>
      </c>
      <c r="AI82" t="s">
        <v>61</v>
      </c>
      <c r="AJ82" s="25">
        <v>0</v>
      </c>
      <c r="AK82" t="s">
        <v>44</v>
      </c>
      <c r="AL82">
        <f>IF(AI72&lt;=$AD$16,IF(AM82=1,0,1),0)</f>
        <v>0</v>
      </c>
      <c r="AM82">
        <f t="shared" si="14"/>
        <v>1</v>
      </c>
    </row>
    <row r="83" spans="34:39" ht="15.75" thickBot="1">
      <c r="AH83">
        <f t="shared" si="13"/>
        <v>0</v>
      </c>
      <c r="AI83" t="s">
        <v>62</v>
      </c>
      <c r="AJ83" s="26">
        <v>0</v>
      </c>
      <c r="AK83" t="s">
        <v>44</v>
      </c>
      <c r="AL83">
        <f>IF(AI72&lt;=$AD$16,IF(AM83=1,0,1),0)</f>
        <v>0</v>
      </c>
      <c r="AM83">
        <f t="shared" si="14"/>
        <v>0</v>
      </c>
    </row>
    <row r="84" spans="34:39" ht="15.75" thickTop="1">
      <c r="AI84" t="s">
        <v>42</v>
      </c>
      <c r="AJ84">
        <f>SUM(AJ73:AJ83)</f>
        <v>0</v>
      </c>
      <c r="AK84" t="s">
        <v>45</v>
      </c>
      <c r="AL84">
        <f>IF(AI72&lt;=$AD$16,1,0)</f>
        <v>0</v>
      </c>
    </row>
  </sheetData>
  <phoneticPr fontId="5" type="noConversion"/>
  <dataValidations count="3">
    <dataValidation type="list" allowBlank="1" showInputMessage="1" showErrorMessage="1" sqref="C23:C24">
      <formula1>$F$52:$F$54</formula1>
    </dataValidation>
    <dataValidation type="list" allowBlank="1" showInputMessage="1" showErrorMessage="1" sqref="C19">
      <formula1>$D$51:$D$56</formula1>
    </dataValidation>
    <dataValidation type="list" showInputMessage="1" showErrorMessage="1" sqref="C7:C17 C21">
      <formula1>$C$50:$C$51</formula1>
    </dataValidation>
  </dataValidations>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sheetPr codeName="Sheet2"/>
  <dimension ref="B2:H28"/>
  <sheetViews>
    <sheetView workbookViewId="0">
      <selection activeCell="B8" sqref="B8"/>
    </sheetView>
  </sheetViews>
  <sheetFormatPr defaultRowHeight="15"/>
  <cols>
    <col min="1" max="1" width="3.28515625" customWidth="1"/>
    <col min="2" max="2" width="31.7109375" bestFit="1" customWidth="1"/>
    <col min="3" max="3" width="18.7109375" customWidth="1"/>
    <col min="4" max="4" width="29.5703125" customWidth="1"/>
    <col min="5" max="5" width="8.140625" customWidth="1"/>
    <col min="6" max="6" width="9.5703125" bestFit="1" customWidth="1"/>
    <col min="7" max="7" width="14.28515625" bestFit="1" customWidth="1"/>
    <col min="8" max="8" width="8.42578125" customWidth="1"/>
  </cols>
  <sheetData>
    <row r="2" spans="2:8">
      <c r="B2" s="2" t="str">
        <f>Restaurants!B4</f>
        <v>Restaurant</v>
      </c>
      <c r="C2" s="2" t="str">
        <f>Restaurants!C4</f>
        <v>Address</v>
      </c>
      <c r="D2" s="2" t="str">
        <f>Restaurants!E4</f>
        <v>Burger Name</v>
      </c>
      <c r="E2" s="2" t="str">
        <f>Restaurants!F4</f>
        <v>Price</v>
      </c>
      <c r="F2" s="2" t="str">
        <f>Restaurants!G4</f>
        <v>Avg. Wait</v>
      </c>
      <c r="G2" s="2" t="s">
        <v>83</v>
      </c>
      <c r="H2" s="14" t="s">
        <v>21</v>
      </c>
    </row>
    <row r="3" spans="2:8">
      <c r="B3" s="12" t="str">
        <f>Restaurants!B5</f>
        <v xml:space="preserve">Shake Shack </v>
      </c>
      <c r="C3" s="12" t="str">
        <f>Restaurants!C5</f>
        <v>11 Madison Ave</v>
      </c>
      <c r="D3" s="12" t="str">
        <f>Restaurants!E5</f>
        <v>Double Shack Burger</v>
      </c>
      <c r="E3" s="13">
        <f>Restaurants!F5</f>
        <v>7.25</v>
      </c>
      <c r="F3" s="12">
        <f>Restaurants!G5</f>
        <v>35</v>
      </c>
      <c r="G3" s="12">
        <f>Restaurants!H5</f>
        <v>65</v>
      </c>
      <c r="H3" s="15">
        <f>Restaurants!P5/100</f>
        <v>0.878</v>
      </c>
    </row>
    <row r="4" spans="2:8">
      <c r="B4" s="12" t="str">
        <f>Restaurants!B6</f>
        <v>Corner Bistro</v>
      </c>
      <c r="C4" s="12" t="str">
        <f>Restaurants!C6</f>
        <v>331 West 4th Street</v>
      </c>
      <c r="D4" s="12" t="str">
        <f>Restaurants!E6</f>
        <v>Bistro Burger</v>
      </c>
      <c r="E4" s="13">
        <f>Restaurants!F6</f>
        <v>6.75</v>
      </c>
      <c r="F4" s="12">
        <f>Restaurants!G6</f>
        <v>20</v>
      </c>
      <c r="G4" s="12">
        <f>Restaurants!H6</f>
        <v>50</v>
      </c>
      <c r="H4" s="15">
        <f>Restaurants!P6/100</f>
        <v>0.83700000000000008</v>
      </c>
    </row>
    <row r="5" spans="2:8">
      <c r="B5" s="12" t="str">
        <f>Restaurants!B7</f>
        <v>Burger Joint at Le Parker Meridien</v>
      </c>
      <c r="C5" s="12" t="str">
        <f>Restaurants!C7</f>
        <v>119 W 56th St</v>
      </c>
      <c r="D5" s="12" t="str">
        <f>Restaurants!E7</f>
        <v>Cheeseburger with "The Works"</v>
      </c>
      <c r="E5" s="13">
        <f>Restaurants!F7</f>
        <v>8</v>
      </c>
      <c r="F5" s="12">
        <f>Restaurants!G7</f>
        <v>15</v>
      </c>
      <c r="G5" s="12">
        <f>Restaurants!H7</f>
        <v>45</v>
      </c>
      <c r="H5" s="15">
        <f>Restaurants!P7/100</f>
        <v>0.83499999999999996</v>
      </c>
    </row>
    <row r="6" spans="2:8">
      <c r="B6" s="12" t="str">
        <f>Restaurants!B8</f>
        <v>Paul's "Da Burger Joint"</v>
      </c>
      <c r="C6" s="12" t="str">
        <f>Restaurants!C8</f>
        <v>131 2nd Ave</v>
      </c>
      <c r="D6" s="12" t="str">
        <f>Restaurants!E8</f>
        <v>Eastsider Burger</v>
      </c>
      <c r="E6" s="13">
        <f>Restaurants!F8</f>
        <v>10.45</v>
      </c>
      <c r="F6" s="12">
        <f>Restaurants!G8</f>
        <v>0</v>
      </c>
      <c r="G6" s="12">
        <f>Restaurants!H8</f>
        <v>30</v>
      </c>
      <c r="H6" s="15">
        <f>Restaurants!P8/100</f>
        <v>0.84099999999999997</v>
      </c>
    </row>
    <row r="7" spans="2:8">
      <c r="B7" s="12" t="str">
        <f>Restaurants!B9</f>
        <v>Blt Burger</v>
      </c>
      <c r="C7" s="12" t="str">
        <f>Restaurants!C9</f>
        <v>470 Avenue of the Americas</v>
      </c>
      <c r="D7" s="12" t="str">
        <f>Restaurants!E9</f>
        <v>BLT</v>
      </c>
      <c r="E7" s="13">
        <f>Restaurants!F9</f>
        <v>11</v>
      </c>
      <c r="F7" s="12">
        <f>Restaurants!G9</f>
        <v>25</v>
      </c>
      <c r="G7" s="12">
        <f>Restaurants!H9</f>
        <v>55</v>
      </c>
      <c r="H7" s="15">
        <f>Restaurants!P9/100</f>
        <v>0.59200000000000008</v>
      </c>
    </row>
    <row r="8" spans="2:8">
      <c r="B8" s="12" t="str">
        <f>Restaurants!B10</f>
        <v>Minetta Tavern</v>
      </c>
      <c r="C8" s="12" t="str">
        <f>Restaurants!C10</f>
        <v>113 MacDougal Street</v>
      </c>
      <c r="D8" s="12" t="str">
        <f>Restaurants!E10</f>
        <v>Black Label Burger</v>
      </c>
      <c r="E8" s="13">
        <f>Restaurants!F10</f>
        <v>26</v>
      </c>
      <c r="F8" s="12">
        <f>Restaurants!G10</f>
        <v>10</v>
      </c>
      <c r="G8" s="12">
        <f>Restaurants!H10</f>
        <v>40</v>
      </c>
      <c r="H8" s="15">
        <f>Restaurants!P10/100</f>
        <v>0.59099999999999997</v>
      </c>
    </row>
    <row r="9" spans="2:8">
      <c r="B9" s="12" t="str">
        <f>Restaurants!B11</f>
        <v>Rare Bar &amp; Grill</v>
      </c>
      <c r="C9" s="12" t="str">
        <f>Restaurants!C11</f>
        <v>303 Lexington Ave</v>
      </c>
      <c r="D9" s="12" t="str">
        <f>Restaurants!E11</f>
        <v>M&amp;M Burger</v>
      </c>
      <c r="E9" s="13">
        <f>Restaurants!F11</f>
        <v>15</v>
      </c>
      <c r="F9" s="12">
        <f>Restaurants!G11</f>
        <v>20</v>
      </c>
      <c r="G9" s="12">
        <f>Restaurants!H11</f>
        <v>50</v>
      </c>
      <c r="H9" s="15">
        <f>Restaurants!P11/100</f>
        <v>0.58799999999999997</v>
      </c>
    </row>
    <row r="10" spans="2:8">
      <c r="B10" s="12" t="str">
        <f>Restaurants!B12</f>
        <v xml:space="preserve">Five Napkin Burger </v>
      </c>
      <c r="C10" s="12" t="str">
        <f>Restaurants!C12</f>
        <v>630 9th Avenue</v>
      </c>
      <c r="D10" s="12" t="str">
        <f>Restaurants!E12</f>
        <v>The Original Five Napkin Burger</v>
      </c>
      <c r="E10" s="13">
        <f>Restaurants!F12</f>
        <v>13.95</v>
      </c>
      <c r="F10" s="12">
        <f>Restaurants!G12</f>
        <v>20</v>
      </c>
      <c r="G10" s="12">
        <f>Restaurants!H12</f>
        <v>50</v>
      </c>
      <c r="H10" s="15">
        <f>Restaurants!P12/100</f>
        <v>0.44</v>
      </c>
    </row>
    <row r="11" spans="2:8">
      <c r="B11" s="12" t="str">
        <f>Restaurants!B13</f>
        <v xml:space="preserve">J.G. Melon </v>
      </c>
      <c r="C11" s="12" t="str">
        <f>Restaurants!C13</f>
        <v>1291 3rd Ave</v>
      </c>
      <c r="D11" s="12" t="str">
        <f>Restaurants!E13</f>
        <v>Bacon Cheeseburger</v>
      </c>
      <c r="E11" s="13">
        <f>Restaurants!F13</f>
        <v>9.5</v>
      </c>
      <c r="F11" s="12">
        <f>Restaurants!G13</f>
        <v>20</v>
      </c>
      <c r="G11" s="12">
        <f>Restaurants!H13</f>
        <v>50</v>
      </c>
      <c r="H11" s="15">
        <f>Restaurants!P13/100</f>
        <v>0.436</v>
      </c>
    </row>
    <row r="12" spans="2:8">
      <c r="B12" s="12" t="str">
        <f>Restaurants!B14</f>
        <v>West 3rd Common</v>
      </c>
      <c r="C12" s="12" t="str">
        <f>Restaurants!C14</f>
        <v>1 West 3rd Street</v>
      </c>
      <c r="D12" s="12" t="str">
        <f>Restaurants!E14</f>
        <v>The Common Burger</v>
      </c>
      <c r="E12" s="13">
        <f>Restaurants!F14</f>
        <v>12</v>
      </c>
      <c r="F12" s="12">
        <f>Restaurants!G14</f>
        <v>0</v>
      </c>
      <c r="G12" s="12">
        <f>Restaurants!H14</f>
        <v>30</v>
      </c>
      <c r="H12" s="15">
        <f>Restaurants!P14/100</f>
        <v>0.53200000000000003</v>
      </c>
    </row>
    <row r="13" spans="2:8">
      <c r="B13" s="12" t="str">
        <f>Restaurants!B15</f>
        <v>DB Bistro Moderne</v>
      </c>
      <c r="C13" s="12" t="str">
        <f>Restaurants!C15</f>
        <v>55 West 44th Street</v>
      </c>
      <c r="D13" s="12" t="str">
        <f>Restaurants!E15</f>
        <v>db BURGER</v>
      </c>
      <c r="E13" s="13">
        <f>Restaurants!F15</f>
        <v>32</v>
      </c>
      <c r="F13" s="12">
        <f>Restaurants!G15</f>
        <v>20</v>
      </c>
      <c r="G13" s="12">
        <f>Restaurants!H15</f>
        <v>50</v>
      </c>
      <c r="H13" s="15">
        <f>Restaurants!P15/100</f>
        <v>0.42700000000000005</v>
      </c>
    </row>
    <row r="14" spans="2:8">
      <c r="B14" s="12"/>
      <c r="E14" s="13"/>
      <c r="H14" s="15"/>
    </row>
    <row r="15" spans="2:8">
      <c r="B15" s="12"/>
      <c r="E15" s="13"/>
      <c r="H15" s="15"/>
    </row>
    <row r="16" spans="2:8">
      <c r="B16" s="12"/>
      <c r="E16" s="13"/>
      <c r="H16" s="15"/>
    </row>
    <row r="17" spans="2:8">
      <c r="E17" s="13"/>
      <c r="H17" s="15"/>
    </row>
    <row r="18" spans="2:8">
      <c r="E18" s="13"/>
      <c r="H18" s="15"/>
    </row>
    <row r="19" spans="2:8">
      <c r="H19" s="3"/>
    </row>
    <row r="20" spans="2:8">
      <c r="B20" s="2" t="s">
        <v>33</v>
      </c>
      <c r="C20" t="s">
        <v>34</v>
      </c>
      <c r="H20" s="3"/>
    </row>
    <row r="21" spans="2:8">
      <c r="H21" s="3"/>
    </row>
    <row r="22" spans="2:8">
      <c r="H22" s="3"/>
    </row>
    <row r="23" spans="2:8">
      <c r="B23" s="23" t="s">
        <v>36</v>
      </c>
      <c r="C23" t="s">
        <v>37</v>
      </c>
      <c r="H23" s="3"/>
    </row>
    <row r="24" spans="2:8">
      <c r="B24" t="s">
        <v>40</v>
      </c>
      <c r="H24" s="3"/>
    </row>
    <row r="25" spans="2:8">
      <c r="H25" s="3"/>
    </row>
    <row r="26" spans="2:8">
      <c r="B26" s="23" t="s">
        <v>38</v>
      </c>
      <c r="C26" t="s">
        <v>41</v>
      </c>
      <c r="H26" s="3"/>
    </row>
    <row r="27" spans="2:8">
      <c r="H27" s="3"/>
    </row>
    <row r="28" spans="2:8">
      <c r="B28" s="23" t="s">
        <v>35</v>
      </c>
      <c r="C28" t="s">
        <v>39</v>
      </c>
    </row>
  </sheetData>
  <phoneticPr fontId="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3"/>
  <dimension ref="B2:P36"/>
  <sheetViews>
    <sheetView topLeftCell="D1" zoomScale="85" zoomScaleNormal="85" workbookViewId="0">
      <selection activeCell="P5" sqref="P5"/>
    </sheetView>
  </sheetViews>
  <sheetFormatPr defaultRowHeight="15"/>
  <cols>
    <col min="1" max="1" width="2.85546875" customWidth="1"/>
    <col min="2" max="2" width="33.5703125" bestFit="1" customWidth="1"/>
    <col min="3" max="4" width="20.7109375" customWidth="1"/>
    <col min="5" max="5" width="38.140625" bestFit="1" customWidth="1"/>
    <col min="6" max="6" width="8" customWidth="1"/>
    <col min="7" max="7" width="10" bestFit="1" customWidth="1"/>
    <col min="8" max="8" width="10" customWidth="1"/>
    <col min="9" max="9" width="14.5703125" customWidth="1"/>
    <col min="10" max="11" width="6.5703125" bestFit="1" customWidth="1"/>
  </cols>
  <sheetData>
    <row r="2" spans="2:16">
      <c r="I2" s="32">
        <v>35</v>
      </c>
      <c r="J2" s="32">
        <v>15</v>
      </c>
      <c r="K2" s="32">
        <v>15</v>
      </c>
      <c r="L2" s="32">
        <v>15</v>
      </c>
      <c r="M2" s="32">
        <v>10</v>
      </c>
      <c r="N2" s="32">
        <v>10</v>
      </c>
      <c r="O2" s="33">
        <f>SUM(I2:N2)</f>
        <v>100</v>
      </c>
    </row>
    <row r="3" spans="2:16">
      <c r="I3" s="17"/>
      <c r="J3" s="17"/>
      <c r="K3" s="17"/>
      <c r="L3" s="17"/>
      <c r="M3" s="17"/>
      <c r="N3" s="17"/>
    </row>
    <row r="4" spans="2:16" ht="45">
      <c r="B4" s="8" t="s">
        <v>6</v>
      </c>
      <c r="C4" s="8" t="s">
        <v>3</v>
      </c>
      <c r="D4" s="8"/>
      <c r="E4" s="8" t="s">
        <v>5</v>
      </c>
      <c r="F4" s="8" t="s">
        <v>4</v>
      </c>
      <c r="G4" s="31" t="s">
        <v>22</v>
      </c>
      <c r="H4" s="31" t="s">
        <v>77</v>
      </c>
      <c r="I4" s="31" t="s">
        <v>78</v>
      </c>
      <c r="J4" s="31" t="s">
        <v>7</v>
      </c>
      <c r="K4" s="31" t="s">
        <v>79</v>
      </c>
      <c r="L4" s="31" t="s">
        <v>80</v>
      </c>
      <c r="M4" s="31" t="s">
        <v>81</v>
      </c>
      <c r="N4" s="31" t="s">
        <v>8</v>
      </c>
      <c r="O4" s="34" t="s">
        <v>19</v>
      </c>
      <c r="P4" s="35" t="s">
        <v>82</v>
      </c>
    </row>
    <row r="5" spans="2:16">
      <c r="B5" t="s">
        <v>57</v>
      </c>
      <c r="C5" t="s">
        <v>9</v>
      </c>
      <c r="D5" t="str">
        <f>B5</f>
        <v xml:space="preserve">Shake Shack </v>
      </c>
      <c r="E5" s="5" t="s">
        <v>63</v>
      </c>
      <c r="F5" s="5">
        <v>7.25</v>
      </c>
      <c r="G5" s="5">
        <v>35</v>
      </c>
      <c r="H5" s="5">
        <v>65</v>
      </c>
      <c r="I5" s="36">
        <v>1</v>
      </c>
      <c r="J5" s="36">
        <v>1</v>
      </c>
      <c r="K5" s="15">
        <v>1</v>
      </c>
      <c r="L5" s="15">
        <v>1</v>
      </c>
      <c r="N5" s="15">
        <v>0.78</v>
      </c>
      <c r="O5" s="7">
        <f>AVERAGE(I5:N5)</f>
        <v>0.95600000000000007</v>
      </c>
      <c r="P5" s="37">
        <f>SUMPRODUCT($I$2:$N$2,I5:N5)</f>
        <v>87.8</v>
      </c>
    </row>
    <row r="6" spans="2:16">
      <c r="B6" t="s">
        <v>0</v>
      </c>
      <c r="C6" t="s">
        <v>20</v>
      </c>
      <c r="D6" t="str">
        <f t="shared" ref="D6:D15" si="0">B6</f>
        <v>Corner Bistro</v>
      </c>
      <c r="E6" t="s">
        <v>64</v>
      </c>
      <c r="F6">
        <v>6.75</v>
      </c>
      <c r="G6">
        <v>20</v>
      </c>
      <c r="H6">
        <v>50</v>
      </c>
      <c r="I6" s="36">
        <v>1</v>
      </c>
      <c r="J6" s="36">
        <v>1</v>
      </c>
      <c r="K6" s="36"/>
      <c r="L6" s="15">
        <v>1</v>
      </c>
      <c r="M6" s="15">
        <v>1</v>
      </c>
      <c r="N6" s="15">
        <v>0.87</v>
      </c>
      <c r="O6" s="7">
        <f t="shared" ref="O6:O14" si="1">AVERAGE(I6:N6)</f>
        <v>0.97399999999999998</v>
      </c>
      <c r="P6" s="37">
        <f t="shared" ref="P6:P15" si="2">SUMPRODUCT($I$2:$N$2,I6:N6)</f>
        <v>83.7</v>
      </c>
    </row>
    <row r="7" spans="2:16">
      <c r="B7" t="s">
        <v>12</v>
      </c>
      <c r="C7" t="s">
        <v>10</v>
      </c>
      <c r="D7" t="str">
        <f t="shared" si="0"/>
        <v>Burger Joint at Le Parker Meridien</v>
      </c>
      <c r="E7" s="5" t="s">
        <v>65</v>
      </c>
      <c r="F7" s="5">
        <v>8</v>
      </c>
      <c r="G7" s="5">
        <v>15</v>
      </c>
      <c r="H7" s="5">
        <v>45</v>
      </c>
      <c r="I7" s="36">
        <v>1</v>
      </c>
      <c r="J7" s="36">
        <v>1</v>
      </c>
      <c r="K7" s="15">
        <v>1</v>
      </c>
      <c r="L7" s="38"/>
      <c r="M7" s="36">
        <v>1</v>
      </c>
      <c r="N7" s="15">
        <v>0.85</v>
      </c>
      <c r="O7" s="7">
        <f t="shared" si="1"/>
        <v>0.97</v>
      </c>
      <c r="P7" s="37">
        <f t="shared" si="2"/>
        <v>83.5</v>
      </c>
    </row>
    <row r="8" spans="2:16">
      <c r="B8" t="s">
        <v>58</v>
      </c>
      <c r="C8" t="s">
        <v>74</v>
      </c>
      <c r="D8" t="str">
        <f>B8</f>
        <v>Paul's "Da Burger Joint"</v>
      </c>
      <c r="E8" s="5" t="s">
        <v>66</v>
      </c>
      <c r="F8" s="5">
        <v>10.45</v>
      </c>
      <c r="G8" s="5">
        <v>0</v>
      </c>
      <c r="H8" s="5">
        <v>30</v>
      </c>
      <c r="I8" s="36">
        <v>1</v>
      </c>
      <c r="J8" s="17"/>
      <c r="K8" s="15">
        <v>1</v>
      </c>
      <c r="L8" s="15">
        <v>1</v>
      </c>
      <c r="M8" s="36">
        <v>1</v>
      </c>
      <c r="N8" s="15">
        <v>0.91</v>
      </c>
      <c r="O8" s="7">
        <f t="shared" si="1"/>
        <v>0.98199999999999998</v>
      </c>
      <c r="P8" s="37">
        <f t="shared" si="2"/>
        <v>84.1</v>
      </c>
    </row>
    <row r="9" spans="2:16">
      <c r="B9" t="s">
        <v>59</v>
      </c>
      <c r="C9" t="s">
        <v>75</v>
      </c>
      <c r="D9" t="str">
        <f t="shared" si="0"/>
        <v>Blt Burger</v>
      </c>
      <c r="E9" t="s">
        <v>67</v>
      </c>
      <c r="F9">
        <v>11</v>
      </c>
      <c r="G9">
        <v>25</v>
      </c>
      <c r="H9">
        <v>55</v>
      </c>
      <c r="I9" s="36">
        <v>1</v>
      </c>
      <c r="J9" s="17"/>
      <c r="K9" s="15">
        <v>1</v>
      </c>
      <c r="L9" s="17"/>
      <c r="M9" s="36"/>
      <c r="N9" s="15">
        <v>0.92</v>
      </c>
      <c r="O9" s="7">
        <f t="shared" si="1"/>
        <v>0.97333333333333327</v>
      </c>
      <c r="P9" s="37">
        <f t="shared" si="2"/>
        <v>59.2</v>
      </c>
    </row>
    <row r="10" spans="2:16">
      <c r="B10" t="s">
        <v>60</v>
      </c>
      <c r="C10" t="s">
        <v>17</v>
      </c>
      <c r="D10" t="str">
        <f t="shared" si="0"/>
        <v>Minetta Tavern</v>
      </c>
      <c r="E10" t="s">
        <v>68</v>
      </c>
      <c r="F10">
        <v>26</v>
      </c>
      <c r="G10">
        <v>10</v>
      </c>
      <c r="H10">
        <v>40</v>
      </c>
      <c r="I10" s="36">
        <v>1</v>
      </c>
      <c r="J10" s="36">
        <v>1</v>
      </c>
      <c r="K10" s="17"/>
      <c r="L10" s="17"/>
      <c r="M10" s="17"/>
      <c r="N10" s="15">
        <v>0.91</v>
      </c>
      <c r="O10" s="7">
        <f t="shared" si="1"/>
        <v>0.97000000000000008</v>
      </c>
      <c r="P10" s="37">
        <f t="shared" si="2"/>
        <v>59.1</v>
      </c>
    </row>
    <row r="11" spans="2:16">
      <c r="B11" t="s">
        <v>13</v>
      </c>
      <c r="C11" t="s">
        <v>28</v>
      </c>
      <c r="D11" t="str">
        <f t="shared" si="0"/>
        <v>Rare Bar &amp; Grill</v>
      </c>
      <c r="E11" t="s">
        <v>69</v>
      </c>
      <c r="F11">
        <v>15</v>
      </c>
      <c r="G11">
        <v>20</v>
      </c>
      <c r="H11">
        <v>50</v>
      </c>
      <c r="I11" s="36">
        <v>1</v>
      </c>
      <c r="J11" s="36">
        <v>1</v>
      </c>
      <c r="K11" s="36"/>
      <c r="L11" s="17"/>
      <c r="M11" s="36"/>
      <c r="N11" s="36">
        <v>0.88</v>
      </c>
      <c r="O11" s="7">
        <f t="shared" si="1"/>
        <v>0.96</v>
      </c>
      <c r="P11" s="37">
        <f t="shared" si="2"/>
        <v>58.8</v>
      </c>
    </row>
    <row r="12" spans="2:16">
      <c r="B12" t="s">
        <v>15</v>
      </c>
      <c r="C12" t="s">
        <v>16</v>
      </c>
      <c r="D12" t="str">
        <f t="shared" si="0"/>
        <v xml:space="preserve">Five Napkin Burger </v>
      </c>
      <c r="E12" t="s">
        <v>70</v>
      </c>
      <c r="F12">
        <v>13.95</v>
      </c>
      <c r="G12">
        <v>20</v>
      </c>
      <c r="H12">
        <v>50</v>
      </c>
      <c r="I12" s="36">
        <v>1</v>
      </c>
      <c r="J12" s="17"/>
      <c r="K12" s="17"/>
      <c r="L12" s="38"/>
      <c r="M12" s="17"/>
      <c r="N12" s="15">
        <v>0.9</v>
      </c>
      <c r="O12" s="7">
        <f t="shared" si="1"/>
        <v>0.95</v>
      </c>
      <c r="P12" s="37">
        <f t="shared" si="2"/>
        <v>44</v>
      </c>
    </row>
    <row r="13" spans="2:16">
      <c r="B13" t="s">
        <v>14</v>
      </c>
      <c r="C13" t="s">
        <v>11</v>
      </c>
      <c r="D13" t="str">
        <f t="shared" si="0"/>
        <v xml:space="preserve">J.G. Melon </v>
      </c>
      <c r="E13" t="s">
        <v>71</v>
      </c>
      <c r="F13">
        <v>9.5</v>
      </c>
      <c r="G13">
        <v>20</v>
      </c>
      <c r="H13">
        <v>50</v>
      </c>
      <c r="I13" s="36">
        <v>1</v>
      </c>
      <c r="J13" s="17"/>
      <c r="K13" s="17"/>
      <c r="L13" s="38"/>
      <c r="M13" s="17"/>
      <c r="N13" s="15">
        <v>0.86</v>
      </c>
      <c r="O13" s="7">
        <f t="shared" si="1"/>
        <v>0.92999999999999994</v>
      </c>
      <c r="P13" s="37">
        <f t="shared" si="2"/>
        <v>43.6</v>
      </c>
    </row>
    <row r="14" spans="2:16">
      <c r="B14" t="s">
        <v>61</v>
      </c>
      <c r="C14" t="s">
        <v>18</v>
      </c>
      <c r="D14" t="str">
        <f t="shared" si="0"/>
        <v>West 3rd Common</v>
      </c>
      <c r="E14" t="s">
        <v>72</v>
      </c>
      <c r="F14">
        <v>12</v>
      </c>
      <c r="G14">
        <v>0</v>
      </c>
      <c r="H14">
        <v>30</v>
      </c>
      <c r="I14" s="36">
        <v>1</v>
      </c>
      <c r="J14" s="17"/>
      <c r="K14" s="17"/>
      <c r="L14" s="17"/>
      <c r="M14" s="36">
        <v>1</v>
      </c>
      <c r="N14" s="15">
        <v>0.82</v>
      </c>
      <c r="O14" s="7">
        <f t="shared" si="1"/>
        <v>0.94</v>
      </c>
      <c r="P14" s="37">
        <f>SUMPRODUCT($I$2:$N$2,I14:N14)</f>
        <v>53.2</v>
      </c>
    </row>
    <row r="15" spans="2:16">
      <c r="B15" t="s">
        <v>62</v>
      </c>
      <c r="C15" t="s">
        <v>76</v>
      </c>
      <c r="D15" t="str">
        <f t="shared" si="0"/>
        <v>DB Bistro Moderne</v>
      </c>
      <c r="E15" t="s">
        <v>73</v>
      </c>
      <c r="F15">
        <v>32</v>
      </c>
      <c r="G15">
        <v>20</v>
      </c>
      <c r="H15">
        <v>50</v>
      </c>
      <c r="I15" s="36">
        <v>1</v>
      </c>
      <c r="J15" s="17"/>
      <c r="K15" s="17"/>
      <c r="L15" s="17"/>
      <c r="M15" s="17"/>
      <c r="N15" s="15">
        <v>0.77</v>
      </c>
      <c r="O15" s="7">
        <f>AVERAGE(I15:N15)</f>
        <v>0.88500000000000001</v>
      </c>
      <c r="P15" s="37">
        <f t="shared" si="2"/>
        <v>42.7</v>
      </c>
    </row>
    <row r="16" spans="2:16">
      <c r="I16" s="7"/>
      <c r="M16" s="7"/>
    </row>
    <row r="17" spans="2:13">
      <c r="B17" s="6"/>
      <c r="I17" s="7"/>
      <c r="K17" s="4"/>
      <c r="L17" s="11"/>
      <c r="M17" s="7"/>
    </row>
    <row r="18" spans="2:13">
      <c r="I18" s="7"/>
      <c r="K18" s="4"/>
      <c r="L18" s="11"/>
      <c r="M18" s="7"/>
    </row>
    <row r="19" spans="2:13">
      <c r="I19" s="7"/>
      <c r="M19" s="7"/>
    </row>
    <row r="20" spans="2:13">
      <c r="I20" s="7"/>
      <c r="M20" s="7"/>
    </row>
    <row r="21" spans="2:13">
      <c r="I21" s="7"/>
      <c r="L21" s="11"/>
      <c r="M21" s="7"/>
    </row>
    <row r="22" spans="2:13">
      <c r="I22" s="7"/>
      <c r="M22" s="7"/>
    </row>
    <row r="23" spans="2:13">
      <c r="I23" s="7"/>
      <c r="L23" s="11"/>
      <c r="M23" s="7"/>
    </row>
    <row r="24" spans="2:13">
      <c r="I24" s="7"/>
      <c r="M24" s="7"/>
    </row>
    <row r="25" spans="2:13">
      <c r="E25" s="5"/>
      <c r="F25" s="5"/>
      <c r="G25" s="5"/>
      <c r="H25" s="5"/>
      <c r="I25" s="7"/>
      <c r="J25" s="7"/>
      <c r="K25" s="4"/>
      <c r="M25" s="7"/>
    </row>
    <row r="26" spans="2:13">
      <c r="B26" s="6"/>
      <c r="I26" s="7"/>
      <c r="L26" s="9"/>
      <c r="M26" s="7"/>
    </row>
    <row r="27" spans="2:13">
      <c r="I27" s="7"/>
      <c r="J27" s="7"/>
      <c r="K27" s="4"/>
      <c r="L27" s="11"/>
      <c r="M27" s="7"/>
    </row>
    <row r="28" spans="2:13">
      <c r="F28" s="13"/>
      <c r="G28" s="13"/>
      <c r="H28" s="13"/>
      <c r="I28" s="7"/>
      <c r="J28" s="7"/>
      <c r="K28" s="4"/>
      <c r="L28" s="11"/>
      <c r="M28" s="7"/>
    </row>
    <row r="29" spans="2:13">
      <c r="B29" s="6"/>
      <c r="I29" s="7"/>
      <c r="M29" s="7"/>
    </row>
    <row r="30" spans="2:13">
      <c r="B30" s="6"/>
      <c r="I30" s="7"/>
      <c r="M30" s="7"/>
    </row>
    <row r="31" spans="2:13">
      <c r="I31" s="7"/>
      <c r="J31" s="7"/>
      <c r="K31" s="7"/>
      <c r="M31" s="7"/>
    </row>
    <row r="32" spans="2:13">
      <c r="B32" s="6"/>
      <c r="I32" s="7"/>
      <c r="M32" s="7"/>
    </row>
    <row r="33" spans="2:13">
      <c r="C33" s="9"/>
      <c r="D33" s="9"/>
      <c r="E33" s="9"/>
      <c r="F33" s="9"/>
      <c r="G33" s="9"/>
      <c r="H33" s="9"/>
      <c r="I33" s="10"/>
      <c r="J33" s="7"/>
      <c r="K33" s="7"/>
      <c r="M33" s="7"/>
    </row>
    <row r="34" spans="2:13">
      <c r="B34" s="6"/>
      <c r="I34" s="7"/>
      <c r="M34" s="7"/>
    </row>
    <row r="35" spans="2:13">
      <c r="I35" s="7"/>
      <c r="J35" s="7"/>
      <c r="K35" s="7"/>
      <c r="L35" s="11"/>
      <c r="M35" s="7"/>
    </row>
    <row r="36" spans="2:13">
      <c r="B36" s="6"/>
      <c r="I36" s="7"/>
      <c r="M36" s="7"/>
    </row>
  </sheetData>
  <phoneticPr fontId="5" type="noConversion"/>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sheetPr codeName="Sheet4"/>
  <dimension ref="B2:M65"/>
  <sheetViews>
    <sheetView workbookViewId="0">
      <selection activeCell="C4" sqref="C4"/>
    </sheetView>
  </sheetViews>
  <sheetFormatPr defaultRowHeight="15"/>
  <cols>
    <col min="1" max="1" width="3.28515625" customWidth="1"/>
    <col min="2" max="2" width="31.5703125" bestFit="1" customWidth="1"/>
    <col min="3" max="8" width="12.7109375" customWidth="1"/>
  </cols>
  <sheetData>
    <row r="2" spans="2:13">
      <c r="B2" s="16" t="s">
        <v>32</v>
      </c>
      <c r="C2" s="16"/>
      <c r="D2" s="16"/>
      <c r="E2" s="16"/>
      <c r="F2" s="16"/>
      <c r="G2" s="16"/>
      <c r="H2" s="16"/>
      <c r="I2" s="16"/>
      <c r="J2" s="16"/>
      <c r="K2" s="16"/>
      <c r="L2" s="16"/>
      <c r="M2" s="16"/>
    </row>
    <row r="3" spans="2:13">
      <c r="B3" s="14" t="s">
        <v>23</v>
      </c>
      <c r="C3" t="s">
        <v>57</v>
      </c>
      <c r="D3" t="s">
        <v>0</v>
      </c>
      <c r="E3" t="s">
        <v>12</v>
      </c>
      <c r="F3" t="s">
        <v>58</v>
      </c>
      <c r="G3" t="s">
        <v>59</v>
      </c>
      <c r="H3" t="s">
        <v>60</v>
      </c>
      <c r="I3" t="s">
        <v>13</v>
      </c>
      <c r="J3" t="s">
        <v>15</v>
      </c>
      <c r="K3" t="s">
        <v>14</v>
      </c>
      <c r="L3" t="s">
        <v>61</v>
      </c>
      <c r="M3" t="s">
        <v>62</v>
      </c>
    </row>
    <row r="4" spans="2:13">
      <c r="B4" t="s">
        <v>57</v>
      </c>
      <c r="C4">
        <f>(VLOOKUP($B4,'Time-Distance'!$B$3:$M$14,MATCH(C$3,'Time-Distance'!$B$3:$M$3,0),FALSE)/60)*Model!$AD$17</f>
        <v>0</v>
      </c>
      <c r="D4">
        <f>(VLOOKUP($B4,'Time-Distance'!$B$3:$M$14,MATCH(D$3,'Time-Distance'!$B$3:$M$3,0),FALSE)/60)*Model!$AD$17</f>
        <v>12.5</v>
      </c>
      <c r="E4">
        <f>(VLOOKUP($B4,'Time-Distance'!$B$3:$M$14,MATCH(E$3,'Time-Distance'!$B$3:$M$3,0),FALSE)/60)*Model!$AD$17</f>
        <v>17.5</v>
      </c>
      <c r="F4">
        <f>(VLOOKUP($B4,'Time-Distance'!$B$3:$M$14,MATCH(F$3,'Time-Distance'!$B$3:$M$3,0),FALSE)/60)*Model!$AD$17</f>
        <v>11.5</v>
      </c>
      <c r="G4">
        <f>(VLOOKUP($B4,'Time-Distance'!$B$3:$M$14,MATCH(G$3,'Time-Distance'!$B$3:$M$3,0),FALSE)/60)*Model!$AD$17</f>
        <v>9</v>
      </c>
      <c r="H4">
        <f>(VLOOKUP($B4,'Time-Distance'!$B$3:$M$14,MATCH(H$3,'Time-Distance'!$B$3:$M$3,0),FALSE)/60)*Model!$AD$17</f>
        <v>12</v>
      </c>
      <c r="I4">
        <f>(VLOOKUP($B4,'Time-Distance'!$B$3:$M$14,MATCH(I$3,'Time-Distance'!$B$3:$M$3,0),FALSE)/60)*Model!$AD$17</f>
        <v>8.5</v>
      </c>
      <c r="J4">
        <f>(VLOOKUP($B4,'Time-Distance'!$B$3:$M$14,MATCH(J$3,'Time-Distance'!$B$3:$M$3,0),FALSE)/60)*Model!$AD$17</f>
        <v>15.500000000000002</v>
      </c>
      <c r="K4">
        <f>(VLOOKUP($B4,'Time-Distance'!$B$3:$M$14,MATCH(K$3,'Time-Distance'!$B$3:$M$3,0),FALSE)/60)*Model!$AD$17</f>
        <v>27.5</v>
      </c>
      <c r="L4">
        <f>(VLOOKUP($B4,'Time-Distance'!$B$3:$M$14,MATCH(L$3,'Time-Distance'!$B$3:$M$3,0),FALSE)/60)*Model!$AD$17</f>
        <v>11</v>
      </c>
      <c r="M4">
        <f>(VLOOKUP($B4,'Time-Distance'!$B$3:$M$14,MATCH(M$3,'Time-Distance'!$B$3:$M$3,0),FALSE)/60)*Model!$AD$17</f>
        <v>11.5</v>
      </c>
    </row>
    <row r="5" spans="2:13">
      <c r="B5" t="s">
        <v>0</v>
      </c>
      <c r="C5">
        <f>(VLOOKUP($B5,'Time-Distance'!$B$3:$M$14,MATCH(C$3,'Time-Distance'!$B$3:$M$3,0),FALSE)/60)*Model!$AD$17</f>
        <v>12.5</v>
      </c>
      <c r="D5">
        <f>(VLOOKUP($B5,'Time-Distance'!$B$3:$M$14,MATCH(D$3,'Time-Distance'!$B$3:$M$3,0),FALSE)/60)*Model!$AD$17</f>
        <v>0</v>
      </c>
      <c r="E5">
        <f>(VLOOKUP($B5,'Time-Distance'!$B$3:$M$14,MATCH(E$3,'Time-Distance'!$B$3:$M$3,0),FALSE)/60)*Model!$AD$17</f>
        <v>24.5</v>
      </c>
      <c r="F5">
        <f>(VLOOKUP($B5,'Time-Distance'!$B$3:$M$14,MATCH(F$3,'Time-Distance'!$B$3:$M$3,0),FALSE)/60)*Model!$AD$17</f>
        <v>11.5</v>
      </c>
      <c r="G5">
        <f>(VLOOKUP($B5,'Time-Distance'!$B$3:$M$14,MATCH(G$3,'Time-Distance'!$B$3:$M$3,0),FALSE)/60)*Model!$AD$17</f>
        <v>4</v>
      </c>
      <c r="H5">
        <f>(VLOOKUP($B5,'Time-Distance'!$B$3:$M$14,MATCH(H$3,'Time-Distance'!$B$3:$M$3,0),FALSE)/60)*Model!$AD$17</f>
        <v>6.5</v>
      </c>
      <c r="I5">
        <f>(VLOOKUP($B5,'Time-Distance'!$B$3:$M$14,MATCH(I$3,'Time-Distance'!$B$3:$M$3,0),FALSE)/60)*Model!$AD$17</f>
        <v>21.5</v>
      </c>
      <c r="J5">
        <f>(VLOOKUP($B5,'Time-Distance'!$B$3:$M$14,MATCH(J$3,'Time-Distance'!$B$3:$M$3,0),FALSE)/60)*Model!$AD$17</f>
        <v>17.5</v>
      </c>
      <c r="K5">
        <f>(VLOOKUP($B5,'Time-Distance'!$B$3:$M$14,MATCH(K$3,'Time-Distance'!$B$3:$M$3,0),FALSE)/60)*Model!$AD$17</f>
        <v>39</v>
      </c>
      <c r="L5" s="49">
        <f>(VLOOKUP($B5,'Time-Distance'!$B$3:$M$14,MATCH(L$3,'Time-Distance'!$B$3:$M$3,0),FALSE)/60)*Model!$AD$17</f>
        <v>9</v>
      </c>
      <c r="M5">
        <f>(VLOOKUP($B5,'Time-Distance'!$B$3:$M$14,MATCH(M$3,'Time-Distance'!$B$3:$M$3,0),FALSE)/60)*Model!$AD$17</f>
        <v>20</v>
      </c>
    </row>
    <row r="6" spans="2:13">
      <c r="B6" t="s">
        <v>12</v>
      </c>
      <c r="C6">
        <f>(VLOOKUP($B6,'Time-Distance'!$B$3:$M$14,MATCH(C$3,'Time-Distance'!$B$3:$M$3,0),FALSE)/60)*Model!$AD$17</f>
        <v>17.5</v>
      </c>
      <c r="D6">
        <f>(VLOOKUP($B6,'Time-Distance'!$B$3:$M$14,MATCH(D$3,'Time-Distance'!$B$3:$M$3,0),FALSE)/60)*Model!$AD$17</f>
        <v>24.5</v>
      </c>
      <c r="E6">
        <f>(VLOOKUP($B6,'Time-Distance'!$B$3:$M$14,MATCH(E$3,'Time-Distance'!$B$3:$M$3,0),FALSE)/60)*Model!$AD$17</f>
        <v>0</v>
      </c>
      <c r="F6">
        <f>(VLOOKUP($B6,'Time-Distance'!$B$3:$M$14,MATCH(F$3,'Time-Distance'!$B$3:$M$3,0),FALSE)/60)*Model!$AD$17</f>
        <v>28</v>
      </c>
      <c r="G6">
        <f>(VLOOKUP($B6,'Time-Distance'!$B$3:$M$14,MATCH(G$3,'Time-Distance'!$B$3:$M$3,0),FALSE)/60)*Model!$AD$17</f>
        <v>22.5</v>
      </c>
      <c r="H6">
        <f>(VLOOKUP($B6,'Time-Distance'!$B$3:$M$14,MATCH(H$3,'Time-Distance'!$B$3:$M$3,0),FALSE)/60)*Model!$AD$17</f>
        <v>27</v>
      </c>
      <c r="I6">
        <f>(VLOOKUP($B6,'Time-Distance'!$B$3:$M$14,MATCH(I$3,'Time-Distance'!$B$3:$M$3,0),FALSE)/60)*Model!$AD$17</f>
        <v>14.5</v>
      </c>
      <c r="J6">
        <f>(VLOOKUP($B6,'Time-Distance'!$B$3:$M$14,MATCH(J$3,'Time-Distance'!$B$3:$M$3,0),FALSE)/60)*Model!$AD$17</f>
        <v>10.5</v>
      </c>
      <c r="K6">
        <f>(VLOOKUP($B6,'Time-Distance'!$B$3:$M$14,MATCH(K$3,'Time-Distance'!$B$3:$M$3,0),FALSE)/60)*Model!$AD$17</f>
        <v>15.500000000000002</v>
      </c>
      <c r="L6">
        <f>(VLOOKUP($B6,'Time-Distance'!$B$3:$M$14,MATCH(L$3,'Time-Distance'!$B$3:$M$3,0),FALSE)/60)*Model!$AD$17</f>
        <v>28</v>
      </c>
      <c r="M6">
        <f>(VLOOKUP($B6,'Time-Distance'!$B$3:$M$14,MATCH(M$3,'Time-Distance'!$B$3:$M$3,0),FALSE)/60)*Model!$AD$17</f>
        <v>6.5</v>
      </c>
    </row>
    <row r="7" spans="2:13">
      <c r="B7" t="s">
        <v>58</v>
      </c>
      <c r="C7">
        <f>(VLOOKUP($B7,'Time-Distance'!$B$3:$M$14,MATCH(C$3,'Time-Distance'!$B$3:$M$3,0),FALSE)/60)*Model!$AD$17</f>
        <v>11.5</v>
      </c>
      <c r="D7">
        <f>(VLOOKUP($B7,'Time-Distance'!$B$3:$M$14,MATCH(D$3,'Time-Distance'!$B$3:$M$3,0),FALSE)/60)*Model!$AD$17</f>
        <v>11.5</v>
      </c>
      <c r="E7">
        <f>(VLOOKUP($B7,'Time-Distance'!$B$3:$M$14,MATCH(E$3,'Time-Distance'!$B$3:$M$3,0),FALSE)/60)*Model!$AD$17</f>
        <v>28</v>
      </c>
      <c r="F7">
        <f>(VLOOKUP($B7,'Time-Distance'!$B$3:$M$14,MATCH(F$3,'Time-Distance'!$B$3:$M$3,0),FALSE)/60)*Model!$AD$17</f>
        <v>0</v>
      </c>
      <c r="G7">
        <f>(VLOOKUP($B7,'Time-Distance'!$B$3:$M$14,MATCH(G$3,'Time-Distance'!$B$3:$M$3,0),FALSE)/60)*Model!$AD$17</f>
        <v>9</v>
      </c>
      <c r="H7">
        <f>(VLOOKUP($B7,'Time-Distance'!$B$3:$M$14,MATCH(H$3,'Time-Distance'!$B$3:$M$3,0),FALSE)/60)*Model!$AD$17</f>
        <v>8.5</v>
      </c>
      <c r="I7">
        <f>(VLOOKUP($B7,'Time-Distance'!$B$3:$M$14,MATCH(I$3,'Time-Distance'!$B$3:$M$3,0),FALSE)/60)*Model!$AD$17</f>
        <v>17</v>
      </c>
      <c r="J7">
        <f>(VLOOKUP($B7,'Time-Distance'!$B$3:$M$14,MATCH(J$3,'Time-Distance'!$B$3:$M$3,0),FALSE)/60)*Model!$AD$17</f>
        <v>26</v>
      </c>
      <c r="K7">
        <f>(VLOOKUP($B7,'Time-Distance'!$B$3:$M$14,MATCH(K$3,'Time-Distance'!$B$3:$M$3,0),FALSE)/60)*Model!$AD$17</f>
        <v>34</v>
      </c>
      <c r="L7">
        <f>(VLOOKUP($B7,'Time-Distance'!$B$3:$M$14,MATCH(L$3,'Time-Distance'!$B$3:$M$3,0),FALSE)/60)*Model!$AD$17</f>
        <v>5.5</v>
      </c>
      <c r="M7">
        <f>(VLOOKUP($B7,'Time-Distance'!$B$3:$M$14,MATCH(M$3,'Time-Distance'!$B$3:$M$3,0),FALSE)/60)*Model!$AD$17</f>
        <v>22.5</v>
      </c>
    </row>
    <row r="8" spans="2:13">
      <c r="B8" t="s">
        <v>59</v>
      </c>
      <c r="C8">
        <f>(VLOOKUP($B8,'Time-Distance'!$B$3:$M$14,MATCH(C$3,'Time-Distance'!$B$3:$M$3,0),FALSE)/60)*Model!$AD$17</f>
        <v>9</v>
      </c>
      <c r="D8">
        <f>(VLOOKUP($B8,'Time-Distance'!$B$3:$M$14,MATCH(D$3,'Time-Distance'!$B$3:$M$3,0),FALSE)/60)*Model!$AD$17</f>
        <v>4</v>
      </c>
      <c r="E8">
        <f>(VLOOKUP($B8,'Time-Distance'!$B$3:$M$14,MATCH(E$3,'Time-Distance'!$B$3:$M$3,0),FALSE)/60)*Model!$AD$17</f>
        <v>22.5</v>
      </c>
      <c r="F8">
        <f>(VLOOKUP($B8,'Time-Distance'!$B$3:$M$14,MATCH(F$3,'Time-Distance'!$B$3:$M$3,0),FALSE)/60)*Model!$AD$17</f>
        <v>9</v>
      </c>
      <c r="G8">
        <f>(VLOOKUP($B8,'Time-Distance'!$B$3:$M$14,MATCH(G$3,'Time-Distance'!$B$3:$M$3,0),FALSE)/60)*Model!$AD$17</f>
        <v>0</v>
      </c>
      <c r="H8">
        <f>(VLOOKUP($B8,'Time-Distance'!$B$3:$M$14,MATCH(H$3,'Time-Distance'!$B$3:$M$3,0),FALSE)/60)*Model!$AD$17</f>
        <v>4.5</v>
      </c>
      <c r="I8">
        <f>(VLOOKUP($B8,'Time-Distance'!$B$3:$M$14,MATCH(I$3,'Time-Distance'!$B$3:$M$3,0),FALSE)/60)*Model!$AD$17</f>
        <v>18</v>
      </c>
      <c r="J8">
        <f>(VLOOKUP($B8,'Time-Distance'!$B$3:$M$14,MATCH(J$3,'Time-Distance'!$B$3:$M$3,0),FALSE)/60)*Model!$AD$17</f>
        <v>20.5</v>
      </c>
      <c r="K8">
        <f>(VLOOKUP($B8,'Time-Distance'!$B$3:$M$14,MATCH(K$3,'Time-Distance'!$B$3:$M$3,0),FALSE)/60)*Model!$AD$17</f>
        <v>36.5</v>
      </c>
      <c r="L8">
        <f>(VLOOKUP($B8,'Time-Distance'!$B$3:$M$14,MATCH(L$3,'Time-Distance'!$B$3:$M$3,0),FALSE)/60)*Model!$AD$17</f>
        <v>7.5</v>
      </c>
      <c r="M8">
        <f>(VLOOKUP($B8,'Time-Distance'!$B$3:$M$14,MATCH(M$3,'Time-Distance'!$B$3:$M$3,0),FALSE)/60)*Model!$AD$17</f>
        <v>16.5</v>
      </c>
    </row>
    <row r="9" spans="2:13">
      <c r="B9" t="s">
        <v>60</v>
      </c>
      <c r="C9">
        <f>(VLOOKUP($B9,'Time-Distance'!$B$3:$M$14,MATCH(C$3,'Time-Distance'!$B$3:$M$3,0),FALSE)/60)*Model!$AD$17</f>
        <v>12</v>
      </c>
      <c r="D9">
        <f>(VLOOKUP($B9,'Time-Distance'!$B$3:$M$14,MATCH(D$3,'Time-Distance'!$B$3:$M$3,0),FALSE)/60)*Model!$AD$17</f>
        <v>6.5</v>
      </c>
      <c r="E9">
        <f>(VLOOKUP($B9,'Time-Distance'!$B$3:$M$14,MATCH(E$3,'Time-Distance'!$B$3:$M$3,0),FALSE)/60)*Model!$AD$17</f>
        <v>27</v>
      </c>
      <c r="F9">
        <f>(VLOOKUP($B9,'Time-Distance'!$B$3:$M$14,MATCH(F$3,'Time-Distance'!$B$3:$M$3,0),FALSE)/60)*Model!$AD$17</f>
        <v>8.5</v>
      </c>
      <c r="G9">
        <f>(VLOOKUP($B9,'Time-Distance'!$B$3:$M$14,MATCH(G$3,'Time-Distance'!$B$3:$M$3,0),FALSE)/60)*Model!$AD$17</f>
        <v>4.5</v>
      </c>
      <c r="H9">
        <f>(VLOOKUP($B9,'Time-Distance'!$B$3:$M$14,MATCH(H$3,'Time-Distance'!$B$3:$M$3,0),FALSE)/60)*Model!$AD$17</f>
        <v>0</v>
      </c>
      <c r="I9">
        <f>(VLOOKUP($B9,'Time-Distance'!$B$3:$M$14,MATCH(I$3,'Time-Distance'!$B$3:$M$3,0),FALSE)/60)*Model!$AD$17</f>
        <v>20.5</v>
      </c>
      <c r="J9">
        <f>(VLOOKUP($B9,'Time-Distance'!$B$3:$M$14,MATCH(J$3,'Time-Distance'!$B$3:$M$3,0),FALSE)/60)*Model!$AD$17</f>
        <v>24</v>
      </c>
      <c r="K9">
        <f>(VLOOKUP($B9,'Time-Distance'!$B$3:$M$14,MATCH(K$3,'Time-Distance'!$B$3:$M$3,0),FALSE)/60)*Model!$AD$17</f>
        <v>57</v>
      </c>
      <c r="L9">
        <f>(VLOOKUP($B9,'Time-Distance'!$B$3:$M$14,MATCH(L$3,'Time-Distance'!$B$3:$M$3,0),FALSE)/60)*Model!$AD$17</f>
        <v>1</v>
      </c>
      <c r="M9">
        <f>(VLOOKUP($B9,'Time-Distance'!$B$3:$M$14,MATCH(M$3,'Time-Distance'!$B$3:$M$3,0),FALSE)/60)*Model!$AD$17</f>
        <v>21</v>
      </c>
    </row>
    <row r="10" spans="2:13">
      <c r="B10" t="s">
        <v>13</v>
      </c>
      <c r="C10">
        <f>(VLOOKUP($B10,'Time-Distance'!$B$3:$M$14,MATCH(C$3,'Time-Distance'!$B$3:$M$3,0),FALSE)/60)*Model!$AD$17</f>
        <v>8.5</v>
      </c>
      <c r="D10">
        <f>(VLOOKUP($B10,'Time-Distance'!$B$3:$M$14,MATCH(D$3,'Time-Distance'!$B$3:$M$3,0),FALSE)/60)*Model!$AD$17</f>
        <v>21.5</v>
      </c>
      <c r="E10">
        <f>(VLOOKUP($B10,'Time-Distance'!$B$3:$M$14,MATCH(E$3,'Time-Distance'!$B$3:$M$3,0),FALSE)/60)*Model!$AD$17</f>
        <v>14.5</v>
      </c>
      <c r="F10">
        <f>(VLOOKUP($B10,'Time-Distance'!$B$3:$M$14,MATCH(F$3,'Time-Distance'!$B$3:$M$3,0),FALSE)/60)*Model!$AD$17</f>
        <v>17</v>
      </c>
      <c r="G10">
        <f>(VLOOKUP($B10,'Time-Distance'!$B$3:$M$14,MATCH(G$3,'Time-Distance'!$B$3:$M$3,0),FALSE)/60)*Model!$AD$17</f>
        <v>18</v>
      </c>
      <c r="H10">
        <f>(VLOOKUP($B10,'Time-Distance'!$B$3:$M$14,MATCH(H$3,'Time-Distance'!$B$3:$M$3,0),FALSE)/60)*Model!$AD$17</f>
        <v>20.5</v>
      </c>
      <c r="I10">
        <f>(VLOOKUP($B10,'Time-Distance'!$B$3:$M$14,MATCH(I$3,'Time-Distance'!$B$3:$M$3,0),FALSE)/60)*Model!$AD$17</f>
        <v>0</v>
      </c>
      <c r="J10">
        <f>(VLOOKUP($B10,'Time-Distance'!$B$3:$M$14,MATCH(J$3,'Time-Distance'!$B$3:$M$3,0),FALSE)/60)*Model!$AD$17</f>
        <v>13.5</v>
      </c>
      <c r="K10">
        <f>(VLOOKUP($B10,'Time-Distance'!$B$3:$M$14,MATCH(K$3,'Time-Distance'!$B$3:$M$3,0),FALSE)/60)*Model!$AD$17</f>
        <v>19.5</v>
      </c>
      <c r="L10">
        <f>(VLOOKUP($B10,'Time-Distance'!$B$3:$M$14,MATCH(L$3,'Time-Distance'!$B$3:$M$3,0),FALSE)/60)*Model!$AD$17</f>
        <v>18</v>
      </c>
      <c r="M10">
        <f>(VLOOKUP($B10,'Time-Distance'!$B$3:$M$14,MATCH(M$3,'Time-Distance'!$B$3:$M$3,0),FALSE)/60)*Model!$AD$17</f>
        <v>8</v>
      </c>
    </row>
    <row r="11" spans="2:13">
      <c r="B11" t="s">
        <v>15</v>
      </c>
      <c r="C11">
        <f>(VLOOKUP($B11,'Time-Distance'!$B$3:$M$14,MATCH(C$3,'Time-Distance'!$B$3:$M$3,0),FALSE)/60)*Model!$AD$17</f>
        <v>15.500000000000002</v>
      </c>
      <c r="D11">
        <f>(VLOOKUP($B11,'Time-Distance'!$B$3:$M$14,MATCH(D$3,'Time-Distance'!$B$3:$M$3,0),FALSE)/60)*Model!$AD$17</f>
        <v>17.5</v>
      </c>
      <c r="E11">
        <f>(VLOOKUP($B11,'Time-Distance'!$B$3:$M$14,MATCH(E$3,'Time-Distance'!$B$3:$M$3,0),FALSE)/60)*Model!$AD$17</f>
        <v>10.5</v>
      </c>
      <c r="F11">
        <f>(VLOOKUP($B11,'Time-Distance'!$B$3:$M$14,MATCH(F$3,'Time-Distance'!$B$3:$M$3,0),FALSE)/60)*Model!$AD$17</f>
        <v>26</v>
      </c>
      <c r="G11">
        <f>(VLOOKUP($B11,'Time-Distance'!$B$3:$M$14,MATCH(G$3,'Time-Distance'!$B$3:$M$3,0),FALSE)/60)*Model!$AD$17</f>
        <v>20.5</v>
      </c>
      <c r="H11">
        <f>(VLOOKUP($B11,'Time-Distance'!$B$3:$M$14,MATCH(H$3,'Time-Distance'!$B$3:$M$3,0),FALSE)/60)*Model!$AD$17</f>
        <v>24</v>
      </c>
      <c r="I11">
        <f>(VLOOKUP($B11,'Time-Distance'!$B$3:$M$14,MATCH(I$3,'Time-Distance'!$B$3:$M$3,0),FALSE)/60)*Model!$AD$17</f>
        <v>13.5</v>
      </c>
      <c r="J11">
        <f>(VLOOKUP($B11,'Time-Distance'!$B$3:$M$14,MATCH(J$3,'Time-Distance'!$B$3:$M$3,0),FALSE)/60)*Model!$AD$17</f>
        <v>0</v>
      </c>
      <c r="K11">
        <f>(VLOOKUP($B11,'Time-Distance'!$B$3:$M$14,MATCH(K$3,'Time-Distance'!$B$3:$M$3,0),FALSE)/60)*Model!$AD$17</f>
        <v>24.5</v>
      </c>
      <c r="L11">
        <f>(VLOOKUP($B11,'Time-Distance'!$B$3:$M$14,MATCH(L$3,'Time-Distance'!$B$3:$M$3,0),FALSE)/60)*Model!$AD$17</f>
        <v>25.5</v>
      </c>
      <c r="M11">
        <f>(VLOOKUP($B11,'Time-Distance'!$B$3:$M$14,MATCH(M$3,'Time-Distance'!$B$3:$M$3,0),FALSE)/60)*Model!$AD$17</f>
        <v>6</v>
      </c>
    </row>
    <row r="12" spans="2:13">
      <c r="B12" t="s">
        <v>14</v>
      </c>
      <c r="C12">
        <f>(VLOOKUP($B12,'Time-Distance'!$B$3:$M$14,MATCH(C$3,'Time-Distance'!$B$3:$M$3,0),FALSE)/60)*Model!$AD$17</f>
        <v>27.5</v>
      </c>
      <c r="D12">
        <f>(VLOOKUP($B12,'Time-Distance'!$B$3:$M$14,MATCH(D$3,'Time-Distance'!$B$3:$M$3,0),FALSE)/60)*Model!$AD$17</f>
        <v>39</v>
      </c>
      <c r="E12">
        <f>(VLOOKUP($B12,'Time-Distance'!$B$3:$M$14,MATCH(E$3,'Time-Distance'!$B$3:$M$3,0),FALSE)/60)*Model!$AD$17</f>
        <v>15.500000000000002</v>
      </c>
      <c r="F12">
        <f>(VLOOKUP($B12,'Time-Distance'!$B$3:$M$14,MATCH(F$3,'Time-Distance'!$B$3:$M$3,0),FALSE)/60)*Model!$AD$17</f>
        <v>34</v>
      </c>
      <c r="G12">
        <f>(VLOOKUP($B12,'Time-Distance'!$B$3:$M$14,MATCH(G$3,'Time-Distance'!$B$3:$M$3,0),FALSE)/60)*Model!$AD$17</f>
        <v>36.5</v>
      </c>
      <c r="H12">
        <f>(VLOOKUP($B12,'Time-Distance'!$B$3:$M$14,MATCH(H$3,'Time-Distance'!$B$3:$M$3,0),FALSE)/60)*Model!$AD$17</f>
        <v>57</v>
      </c>
      <c r="I12">
        <f>(VLOOKUP($B12,'Time-Distance'!$B$3:$M$14,MATCH(I$3,'Time-Distance'!$B$3:$M$3,0),FALSE)/60)*Model!$AD$17</f>
        <v>19.5</v>
      </c>
      <c r="J12">
        <f>(VLOOKUP($B12,'Time-Distance'!$B$3:$M$14,MATCH(J$3,'Time-Distance'!$B$3:$M$3,0),FALSE)/60)*Model!$AD$17</f>
        <v>24.5</v>
      </c>
      <c r="K12">
        <f>(VLOOKUP($B12,'Time-Distance'!$B$3:$M$14,MATCH(K$3,'Time-Distance'!$B$3:$M$3,0),FALSE)/60)*Model!$AD$17</f>
        <v>0</v>
      </c>
      <c r="L12">
        <f>(VLOOKUP($B12,'Time-Distance'!$B$3:$M$14,MATCH(L$3,'Time-Distance'!$B$3:$M$3,0),FALSE)/60)*Model!$AD$17</f>
        <v>36.5</v>
      </c>
      <c r="M12">
        <f>(VLOOKUP($B12,'Time-Distance'!$B$3:$M$14,MATCH(M$3,'Time-Distance'!$B$3:$M$3,0),FALSE)/60)*Model!$AD$17</f>
        <v>20</v>
      </c>
    </row>
    <row r="13" spans="2:13">
      <c r="B13" t="s">
        <v>61</v>
      </c>
      <c r="C13">
        <f>(VLOOKUP($B13,'Time-Distance'!$B$3:$M$14,MATCH(C$3,'Time-Distance'!$B$3:$M$3,0),FALSE)/60)*Model!$AD$17</f>
        <v>11</v>
      </c>
      <c r="D13">
        <f>(VLOOKUP($B13,'Time-Distance'!$B$3:$M$14,MATCH(D$3,'Time-Distance'!$B$3:$M$3,0),FALSE)/60)*Model!$AD$17</f>
        <v>9</v>
      </c>
      <c r="E13">
        <f>(VLOOKUP($B13,'Time-Distance'!$B$3:$M$14,MATCH(E$3,'Time-Distance'!$B$3:$M$3,0),FALSE)/60)*Model!$AD$17</f>
        <v>28</v>
      </c>
      <c r="F13">
        <f>(VLOOKUP($B13,'Time-Distance'!$B$3:$M$14,MATCH(F$3,'Time-Distance'!$B$3:$M$3,0),FALSE)/60)*Model!$AD$17</f>
        <v>5.5</v>
      </c>
      <c r="G13">
        <f>(VLOOKUP($B13,'Time-Distance'!$B$3:$M$14,MATCH(G$3,'Time-Distance'!$B$3:$M$3,0),FALSE)/60)*Model!$AD$17</f>
        <v>7.5</v>
      </c>
      <c r="H13">
        <f>(VLOOKUP($B13,'Time-Distance'!$B$3:$M$14,MATCH(H$3,'Time-Distance'!$B$3:$M$3,0),FALSE)/60)*Model!$AD$17</f>
        <v>1</v>
      </c>
      <c r="I13">
        <f>(VLOOKUP($B13,'Time-Distance'!$B$3:$M$14,MATCH(I$3,'Time-Distance'!$B$3:$M$3,0),FALSE)/60)*Model!$AD$17</f>
        <v>18</v>
      </c>
      <c r="J13">
        <f>(VLOOKUP($B13,'Time-Distance'!$B$3:$M$14,MATCH(J$3,'Time-Distance'!$B$3:$M$3,0),FALSE)/60)*Model!$AD$17</f>
        <v>25.5</v>
      </c>
      <c r="K13">
        <f>(VLOOKUP($B13,'Time-Distance'!$B$3:$M$14,MATCH(K$3,'Time-Distance'!$B$3:$M$3,0),FALSE)/60)*Model!$AD$17</f>
        <v>36.5</v>
      </c>
      <c r="L13">
        <f>(VLOOKUP($B13,'Time-Distance'!$B$3:$M$14,MATCH(L$3,'Time-Distance'!$B$3:$M$3,0),FALSE)/60)*Model!$AD$17</f>
        <v>0</v>
      </c>
      <c r="M13">
        <f>(VLOOKUP($B13,'Time-Distance'!$B$3:$M$14,MATCH(M$3,'Time-Distance'!$B$3:$M$3,0),FALSE)/60)*Model!$AD$17</f>
        <v>22</v>
      </c>
    </row>
    <row r="14" spans="2:13">
      <c r="B14" t="s">
        <v>62</v>
      </c>
      <c r="C14">
        <f>(VLOOKUP($B14,'Time-Distance'!$B$3:$M$14,MATCH(C$3,'Time-Distance'!$B$3:$M$3,0),FALSE)/60)*Model!$AD$17</f>
        <v>11.5</v>
      </c>
      <c r="D14">
        <f>(VLOOKUP($B14,'Time-Distance'!$B$3:$M$14,MATCH(D$3,'Time-Distance'!$B$3:$M$3,0),FALSE)/60)*Model!$AD$17</f>
        <v>20</v>
      </c>
      <c r="E14">
        <f>(VLOOKUP($B14,'Time-Distance'!$B$3:$M$14,MATCH(E$3,'Time-Distance'!$B$3:$M$3,0),FALSE)/60)*Model!$AD$17</f>
        <v>6.5</v>
      </c>
      <c r="F14">
        <f>(VLOOKUP($B14,'Time-Distance'!$B$3:$M$14,MATCH(F$3,'Time-Distance'!$B$3:$M$3,0),FALSE)/60)*Model!$AD$17</f>
        <v>22.5</v>
      </c>
      <c r="G14">
        <f>(VLOOKUP($B14,'Time-Distance'!$B$3:$M$14,MATCH(G$3,'Time-Distance'!$B$3:$M$3,0),FALSE)/60)*Model!$AD$17</f>
        <v>16.5</v>
      </c>
      <c r="H14">
        <f>(VLOOKUP($B14,'Time-Distance'!$B$3:$M$14,MATCH(H$3,'Time-Distance'!$B$3:$M$3,0),FALSE)/60)*Model!$AD$17</f>
        <v>21</v>
      </c>
      <c r="I14">
        <f>(VLOOKUP($B14,'Time-Distance'!$B$3:$M$14,MATCH(I$3,'Time-Distance'!$B$3:$M$3,0),FALSE)/60)*Model!$AD$17</f>
        <v>8</v>
      </c>
      <c r="J14">
        <f>(VLOOKUP($B14,'Time-Distance'!$B$3:$M$14,MATCH(J$3,'Time-Distance'!$B$3:$M$3,0),FALSE)/60)*Model!$AD$17</f>
        <v>6</v>
      </c>
      <c r="K14">
        <f>(VLOOKUP($B14,'Time-Distance'!$B$3:$M$14,MATCH(K$3,'Time-Distance'!$B$3:$M$3,0),FALSE)/60)*Model!$AD$17</f>
        <v>20</v>
      </c>
      <c r="L14">
        <f>(VLOOKUP($B14,'Time-Distance'!$B$3:$M$14,MATCH(L$3,'Time-Distance'!$B$3:$M$3,0),FALSE)/60)*Model!$AD$17</f>
        <v>22</v>
      </c>
      <c r="M14">
        <f>(VLOOKUP($B14,'Time-Distance'!$B$3:$M$14,MATCH(M$3,'Time-Distance'!$B$3:$M$3,0),FALSE)/60)*Model!$AD$17</f>
        <v>0</v>
      </c>
    </row>
    <row r="15" spans="2:13">
      <c r="C15" s="41"/>
      <c r="D15" s="41"/>
      <c r="E15" s="41"/>
      <c r="F15" s="41"/>
      <c r="G15" s="41"/>
      <c r="H15" s="41"/>
    </row>
    <row r="17" spans="2:13">
      <c r="B17" s="14" t="s">
        <v>24</v>
      </c>
      <c r="C17" t="s">
        <v>57</v>
      </c>
      <c r="D17" t="s">
        <v>0</v>
      </c>
      <c r="E17" t="s">
        <v>12</v>
      </c>
      <c r="F17" t="s">
        <v>58</v>
      </c>
      <c r="G17" t="s">
        <v>59</v>
      </c>
      <c r="H17" t="s">
        <v>60</v>
      </c>
      <c r="I17" t="s">
        <v>13</v>
      </c>
      <c r="J17" t="s">
        <v>15</v>
      </c>
      <c r="K17" t="s">
        <v>14</v>
      </c>
      <c r="L17" t="s">
        <v>61</v>
      </c>
      <c r="M17" t="s">
        <v>62</v>
      </c>
    </row>
    <row r="18" spans="2:13">
      <c r="B18" t="s">
        <v>57</v>
      </c>
      <c r="C18">
        <f>(VLOOKUP($B18,'Time-Distance'!$B$17:$M$28,MATCH(C$17,'Time-Distance'!$B$17:$M$17,0),FALSE)/60)*Model!$AD$17+((VLOOKUP($B18,'Time-Distance'!$O$17:$Z$28,MATCH(C$17,'Time-Distance'!$O$17:$Z$17,0),FALSE)*IF(Model!$AD$23=1,$C$51,$C$52))/60)*Model!$AD$17+2</f>
        <v>2</v>
      </c>
      <c r="D18">
        <f>(VLOOKUP($B18,'Time-Distance'!$B$17:$M$28,MATCH(D$17,'Time-Distance'!$B$17:$M$17,0),FALSE)/60)*Model!$AD$17+((VLOOKUP($B18,'Time-Distance'!$O$17:$Z$28,MATCH(D$17,'Time-Distance'!$O$17:$Z$17,0),FALSE)*IF(Model!$AD$23=1,$C$51,$C$52))/60)*Model!$AD$17+2</f>
        <v>15.629999999999999</v>
      </c>
      <c r="E18">
        <f>(VLOOKUP($B18,'Time-Distance'!$B$17:$M$28,MATCH(E$17,'Time-Distance'!$B$17:$M$17,0),FALSE)/60)*Model!$AD$17+((VLOOKUP($B18,'Time-Distance'!$O$17:$Z$28,MATCH(E$17,'Time-Distance'!$O$17:$Z$17,0),FALSE)*IF(Model!$AD$23=1,$C$51,$C$52))/60)*Model!$AD$17+2</f>
        <v>10.065</v>
      </c>
      <c r="F18">
        <f>(VLOOKUP($B18,'Time-Distance'!$B$17:$M$28,MATCH(F$17,'Time-Distance'!$B$17:$M$17,0),FALSE)/60)*Model!$AD$17+((VLOOKUP($B18,'Time-Distance'!$O$17:$Z$28,MATCH(F$17,'Time-Distance'!$O$17:$Z$17,0),FALSE)*IF(Model!$AD$23=1,$C$51,$C$52))/60)*Model!$AD$17+2</f>
        <v>9.5649999999999995</v>
      </c>
      <c r="G18">
        <f>(VLOOKUP($B18,'Time-Distance'!$B$17:$M$28,MATCH(G$17,'Time-Distance'!$B$17:$M$17,0),FALSE)/60)*Model!$AD$17+((VLOOKUP($B18,'Time-Distance'!$O$17:$Z$28,MATCH(G$17,'Time-Distance'!$O$17:$Z$17,0),FALSE)*IF(Model!$AD$23=1,$C$51,$C$52))/60)*Model!$AD$17+2</f>
        <v>8.0649999999999995</v>
      </c>
      <c r="H18">
        <f>(VLOOKUP($B18,'Time-Distance'!$B$17:$M$28,MATCH(H$17,'Time-Distance'!$B$17:$M$17,0),FALSE)/60)*Model!$AD$17+((VLOOKUP($B18,'Time-Distance'!$O$17:$Z$28,MATCH(H$17,'Time-Distance'!$O$17:$Z$17,0),FALSE)*IF(Model!$AD$23=1,$C$51,$C$52))/60)*Model!$AD$17+2</f>
        <v>10.565</v>
      </c>
      <c r="I18">
        <f>(VLOOKUP($B18,'Time-Distance'!$B$17:$M$28,MATCH(I$17,'Time-Distance'!$B$17:$M$17,0),FALSE)/60)*Model!$AD$17+((VLOOKUP($B18,'Time-Distance'!$O$17:$Z$28,MATCH(I$17,'Time-Distance'!$O$17:$Z$17,0),FALSE)*IF(Model!$AD$23=1,$C$51,$C$52))/60)*Model!$AD$17+2</f>
        <v>10.565</v>
      </c>
      <c r="J18">
        <f>(VLOOKUP($B18,'Time-Distance'!$B$17:$M$28,MATCH(J$17,'Time-Distance'!$B$17:$M$17,0),FALSE)/60)*Model!$AD$17+((VLOOKUP($B18,'Time-Distance'!$O$17:$Z$28,MATCH(J$17,'Time-Distance'!$O$17:$Z$17,0),FALSE)*IF(Model!$AD$23=1,$C$51,$C$52))/60)*Model!$AD$17+2</f>
        <v>13.065</v>
      </c>
      <c r="K18">
        <f>(VLOOKUP($B18,'Time-Distance'!$B$17:$M$28,MATCH(K$17,'Time-Distance'!$B$17:$M$17,0),FALSE)/60)*Model!$AD$17+((VLOOKUP($B18,'Time-Distance'!$O$17:$Z$28,MATCH(K$17,'Time-Distance'!$O$17:$Z$17,0),FALSE)*IF(Model!$AD$23=1,$C$51,$C$52))/60)*Model!$AD$17+2</f>
        <v>13.065</v>
      </c>
      <c r="L18">
        <f>(VLOOKUP($B18,'Time-Distance'!$B$17:$M$28,MATCH(L$17,'Time-Distance'!$B$17:$M$17,0),FALSE)/60)*Model!$AD$17+((VLOOKUP($B18,'Time-Distance'!$O$17:$Z$28,MATCH(L$17,'Time-Distance'!$O$17:$Z$17,0),FALSE)*IF(Model!$AD$23=1,$C$51,$C$52))/60)*Model!$AD$17+2</f>
        <v>9.0649999999999995</v>
      </c>
      <c r="M18">
        <f>(VLOOKUP($B18,'Time-Distance'!$B$17:$M$28,MATCH(M$17,'Time-Distance'!$B$17:$M$17,0),FALSE)/60)*Model!$AD$17+((VLOOKUP($B18,'Time-Distance'!$O$17:$Z$28,MATCH(M$17,'Time-Distance'!$O$17:$Z$17,0),FALSE)*IF(Model!$AD$23=1,$C$51,$C$52))/60)*Model!$AD$17+2</f>
        <v>10.565</v>
      </c>
    </row>
    <row r="19" spans="2:13">
      <c r="B19" t="s">
        <v>0</v>
      </c>
      <c r="C19">
        <f>(VLOOKUP($B19,'Time-Distance'!$B$17:$M$28,MATCH(C$17,'Time-Distance'!$B$17:$M$17,0),FALSE)/60)*Model!$AD$17+((VLOOKUP($B19,'Time-Distance'!$O$17:$Z$28,MATCH(C$17,'Time-Distance'!$O$17:$Z$17,0),FALSE)*IF(Model!$AD$23=1,$C$51,$C$52))/60)*Model!$AD$17+2</f>
        <v>15.629999999999999</v>
      </c>
      <c r="D19">
        <f>(VLOOKUP($B19,'Time-Distance'!$B$17:$M$28,MATCH(D$17,'Time-Distance'!$B$17:$M$17,0),FALSE)/60)*Model!$AD$17+((VLOOKUP($B19,'Time-Distance'!$O$17:$Z$28,MATCH(D$17,'Time-Distance'!$O$17:$Z$17,0),FALSE)*IF(Model!$AD$23=1,$C$51,$C$52))/60)*Model!$AD$17+2</f>
        <v>2</v>
      </c>
      <c r="E19">
        <f>(VLOOKUP($B19,'Time-Distance'!$B$17:$M$28,MATCH(E$17,'Time-Distance'!$B$17:$M$17,0),FALSE)/60)*Model!$AD$17+((VLOOKUP($B19,'Time-Distance'!$O$17:$Z$28,MATCH(E$17,'Time-Distance'!$O$17:$Z$17,0),FALSE)*IF(Model!$AD$23=1,$C$51,$C$52))/60)*Model!$AD$17+2</f>
        <v>12.565</v>
      </c>
      <c r="F19">
        <f>(VLOOKUP($B19,'Time-Distance'!$B$17:$M$28,MATCH(F$17,'Time-Distance'!$B$17:$M$17,0),FALSE)/60)*Model!$AD$17+((VLOOKUP($B19,'Time-Distance'!$O$17:$Z$28,MATCH(F$17,'Time-Distance'!$O$17:$Z$17,0),FALSE)*IF(Model!$AD$23=1,$C$51,$C$52))/60)*Model!$AD$17+2</f>
        <v>13.065</v>
      </c>
      <c r="G19">
        <f>(VLOOKUP($B19,'Time-Distance'!$B$17:$M$28,MATCH(G$17,'Time-Distance'!$B$17:$M$17,0),FALSE)/60)*Model!$AD$17+((VLOOKUP($B19,'Time-Distance'!$O$17:$Z$28,MATCH(G$17,'Time-Distance'!$O$17:$Z$17,0),FALSE)*IF(Model!$AD$23=1,$C$51,$C$52))/60)*Model!$AD$17+2</f>
        <v>7.5649999999999995</v>
      </c>
      <c r="H19">
        <f>(VLOOKUP($B19,'Time-Distance'!$B$17:$M$28,MATCH(H$17,'Time-Distance'!$B$17:$M$17,0),FALSE)/60)*Model!$AD$17+((VLOOKUP($B19,'Time-Distance'!$O$17:$Z$28,MATCH(H$17,'Time-Distance'!$O$17:$Z$17,0),FALSE)*IF(Model!$AD$23=1,$C$51,$C$52))/60)*Model!$AD$17+2</f>
        <v>9.0649999999999995</v>
      </c>
      <c r="I19">
        <f>(VLOOKUP($B19,'Time-Distance'!$B$17:$M$28,MATCH(I$17,'Time-Distance'!$B$17:$M$17,0),FALSE)/60)*Model!$AD$17+((VLOOKUP($B19,'Time-Distance'!$O$17:$Z$28,MATCH(I$17,'Time-Distance'!$O$17:$Z$17,0),FALSE)*IF(Model!$AD$23=1,$C$51,$C$52))/60)*Model!$AD$17+2</f>
        <v>16.13</v>
      </c>
      <c r="J19">
        <f>(VLOOKUP($B19,'Time-Distance'!$B$17:$M$28,MATCH(J$17,'Time-Distance'!$B$17:$M$17,0),FALSE)/60)*Model!$AD$17+((VLOOKUP($B19,'Time-Distance'!$O$17:$Z$28,MATCH(J$17,'Time-Distance'!$O$17:$Z$17,0),FALSE)*IF(Model!$AD$23=1,$C$51,$C$52))/60)*Model!$AD$17+2</f>
        <v>11.065</v>
      </c>
      <c r="K19">
        <f>(VLOOKUP($B19,'Time-Distance'!$B$17:$M$28,MATCH(K$17,'Time-Distance'!$B$17:$M$17,0),FALSE)/60)*Model!$AD$17+((VLOOKUP($B19,'Time-Distance'!$O$17:$Z$28,MATCH(K$17,'Time-Distance'!$O$17:$Z$17,0),FALSE)*IF(Model!$AD$23=1,$C$51,$C$52))/60)*Model!$AD$17+2</f>
        <v>19.63</v>
      </c>
      <c r="L19">
        <f>(VLOOKUP($B19,'Time-Distance'!$B$17:$M$28,MATCH(L$17,'Time-Distance'!$B$17:$M$17,0),FALSE)/60)*Model!$AD$17+((VLOOKUP($B19,'Time-Distance'!$O$17:$Z$28,MATCH(L$17,'Time-Distance'!$O$17:$Z$17,0),FALSE)*IF(Model!$AD$23=1,$C$51,$C$52))/60)*Model!$AD$17+2</f>
        <v>14.129999999999999</v>
      </c>
      <c r="M19">
        <f>(VLOOKUP($B19,'Time-Distance'!$B$17:$M$28,MATCH(M$17,'Time-Distance'!$B$17:$M$17,0),FALSE)/60)*Model!$AD$17+((VLOOKUP($B19,'Time-Distance'!$O$17:$Z$28,MATCH(M$17,'Time-Distance'!$O$17:$Z$17,0),FALSE)*IF(Model!$AD$23=1,$C$51,$C$52))/60)*Model!$AD$17+2</f>
        <v>14.129999999999999</v>
      </c>
    </row>
    <row r="20" spans="2:13">
      <c r="B20" t="s">
        <v>12</v>
      </c>
      <c r="C20">
        <f>(VLOOKUP($B20,'Time-Distance'!$B$17:$M$28,MATCH(C$17,'Time-Distance'!$B$17:$M$17,0),FALSE)/60)*Model!$AD$17+((VLOOKUP($B20,'Time-Distance'!$O$17:$Z$28,MATCH(C$17,'Time-Distance'!$O$17:$Z$17,0),FALSE)*IF(Model!$AD$23=1,$C$51,$C$52))/60)*Model!$AD$17+2</f>
        <v>10.065</v>
      </c>
      <c r="D20">
        <f>(VLOOKUP($B20,'Time-Distance'!$B$17:$M$28,MATCH(D$17,'Time-Distance'!$B$17:$M$17,0),FALSE)/60)*Model!$AD$17+((VLOOKUP($B20,'Time-Distance'!$O$17:$Z$28,MATCH(D$17,'Time-Distance'!$O$17:$Z$17,0),FALSE)*IF(Model!$AD$23=1,$C$51,$C$52))/60)*Model!$AD$17+2</f>
        <v>12.565</v>
      </c>
      <c r="E20">
        <f>(VLOOKUP($B20,'Time-Distance'!$B$17:$M$28,MATCH(E$17,'Time-Distance'!$B$17:$M$17,0),FALSE)/60)*Model!$AD$17+((VLOOKUP($B20,'Time-Distance'!$O$17:$Z$28,MATCH(E$17,'Time-Distance'!$O$17:$Z$17,0),FALSE)*IF(Model!$AD$23=1,$C$51,$C$52))/60)*Model!$AD$17+2</f>
        <v>2</v>
      </c>
      <c r="F20">
        <f>(VLOOKUP($B20,'Time-Distance'!$B$17:$M$28,MATCH(F$17,'Time-Distance'!$B$17:$M$17,0),FALSE)/60)*Model!$AD$17+((VLOOKUP($B20,'Time-Distance'!$O$17:$Z$28,MATCH(F$17,'Time-Distance'!$O$17:$Z$17,0),FALSE)*IF(Model!$AD$23=1,$C$51,$C$52))/60)*Model!$AD$17+2</f>
        <v>17.13</v>
      </c>
      <c r="G20">
        <f>(VLOOKUP($B20,'Time-Distance'!$B$17:$M$28,MATCH(G$17,'Time-Distance'!$B$17:$M$17,0),FALSE)/60)*Model!$AD$17+((VLOOKUP($B20,'Time-Distance'!$O$17:$Z$28,MATCH(G$17,'Time-Distance'!$O$17:$Z$17,0),FALSE)*IF(Model!$AD$23=1,$C$51,$C$52))/60)*Model!$AD$17+2</f>
        <v>10.565</v>
      </c>
      <c r="H20">
        <f>(VLOOKUP($B20,'Time-Distance'!$B$17:$M$28,MATCH(H$17,'Time-Distance'!$B$17:$M$17,0),FALSE)/60)*Model!$AD$17+((VLOOKUP($B20,'Time-Distance'!$O$17:$Z$28,MATCH(H$17,'Time-Distance'!$O$17:$Z$17,0),FALSE)*IF(Model!$AD$23=1,$C$51,$C$52))/60)*Model!$AD$17+2</f>
        <v>11.065</v>
      </c>
      <c r="I20">
        <f>(VLOOKUP($B20,'Time-Distance'!$B$17:$M$28,MATCH(I$17,'Time-Distance'!$B$17:$M$17,0),FALSE)/60)*Model!$AD$17+((VLOOKUP($B20,'Time-Distance'!$O$17:$Z$28,MATCH(I$17,'Time-Distance'!$O$17:$Z$17,0),FALSE)*IF(Model!$AD$23=1,$C$51,$C$52))/60)*Model!$AD$17+2</f>
        <v>15.129999999999999</v>
      </c>
      <c r="J20">
        <f>(VLOOKUP($B20,'Time-Distance'!$B$17:$M$28,MATCH(J$17,'Time-Distance'!$B$17:$M$17,0),FALSE)/60)*Model!$AD$17+((VLOOKUP($B20,'Time-Distance'!$O$17:$Z$28,MATCH(J$17,'Time-Distance'!$O$17:$Z$17,0),FALSE)*IF(Model!$AD$23=1,$C$51,$C$52))/60)*Model!$AD$17+2</f>
        <v>11.065</v>
      </c>
      <c r="K20">
        <f>(VLOOKUP($B20,'Time-Distance'!$B$17:$M$28,MATCH(K$17,'Time-Distance'!$B$17:$M$17,0),FALSE)/60)*Model!$AD$17+((VLOOKUP($B20,'Time-Distance'!$O$17:$Z$28,MATCH(K$17,'Time-Distance'!$O$17:$Z$17,0),FALSE)*IF(Model!$AD$23=1,$C$51,$C$52))/60)*Model!$AD$17+2</f>
        <v>12.065</v>
      </c>
      <c r="L20">
        <f>(VLOOKUP($B20,'Time-Distance'!$B$17:$M$28,MATCH(L$17,'Time-Distance'!$B$17:$M$17,0),FALSE)/60)*Model!$AD$17+((VLOOKUP($B20,'Time-Distance'!$O$17:$Z$28,MATCH(L$17,'Time-Distance'!$O$17:$Z$17,0),FALSE)*IF(Model!$AD$23=1,$C$51,$C$52))/60)*Model!$AD$17+2</f>
        <v>12.565</v>
      </c>
      <c r="M20">
        <f>(VLOOKUP($B20,'Time-Distance'!$B$17:$M$28,MATCH(M$17,'Time-Distance'!$B$17:$M$17,0),FALSE)/60)*Model!$AD$17+((VLOOKUP($B20,'Time-Distance'!$O$17:$Z$28,MATCH(M$17,'Time-Distance'!$O$17:$Z$17,0),FALSE)*IF(Model!$AD$23=1,$C$51,$C$52))/60)*Model!$AD$17+2</f>
        <v>7.5649999999999995</v>
      </c>
    </row>
    <row r="21" spans="2:13">
      <c r="B21" t="s">
        <v>58</v>
      </c>
      <c r="C21">
        <f>(VLOOKUP($B21,'Time-Distance'!$B$17:$M$28,MATCH(C$17,'Time-Distance'!$B$17:$M$17,0),FALSE)/60)*Model!$AD$17+((VLOOKUP($B21,'Time-Distance'!$O$17:$Z$28,MATCH(C$17,'Time-Distance'!$O$17:$Z$17,0),FALSE)*IF(Model!$AD$23=1,$C$51,$C$52))/60)*Model!$AD$17+2</f>
        <v>9.5649999999999995</v>
      </c>
      <c r="D21">
        <f>(VLOOKUP($B21,'Time-Distance'!$B$17:$M$28,MATCH(D$17,'Time-Distance'!$B$17:$M$17,0),FALSE)/60)*Model!$AD$17+((VLOOKUP($B21,'Time-Distance'!$O$17:$Z$28,MATCH(D$17,'Time-Distance'!$O$17:$Z$17,0),FALSE)*IF(Model!$AD$23=1,$C$51,$C$52))/60)*Model!$AD$17+2</f>
        <v>13.065</v>
      </c>
      <c r="E21">
        <f>(VLOOKUP($B21,'Time-Distance'!$B$17:$M$28,MATCH(E$17,'Time-Distance'!$B$17:$M$17,0),FALSE)/60)*Model!$AD$17+((VLOOKUP($B21,'Time-Distance'!$O$17:$Z$28,MATCH(E$17,'Time-Distance'!$O$17:$Z$17,0),FALSE)*IF(Model!$AD$23=1,$C$51,$C$52))/60)*Model!$AD$17+2</f>
        <v>17.13</v>
      </c>
      <c r="F21">
        <f>(VLOOKUP($B21,'Time-Distance'!$B$17:$M$28,MATCH(F$17,'Time-Distance'!$B$17:$M$17,0),FALSE)/60)*Model!$AD$17+((VLOOKUP($B21,'Time-Distance'!$O$17:$Z$28,MATCH(F$17,'Time-Distance'!$O$17:$Z$17,0),FALSE)*IF(Model!$AD$23=1,$C$51,$C$52))/60)*Model!$AD$17+2</f>
        <v>2</v>
      </c>
      <c r="G21">
        <f>(VLOOKUP($B21,'Time-Distance'!$B$17:$M$28,MATCH(G$17,'Time-Distance'!$B$17:$M$17,0),FALSE)/60)*Model!$AD$17+((VLOOKUP($B21,'Time-Distance'!$O$17:$Z$28,MATCH(G$17,'Time-Distance'!$O$17:$Z$17,0),FALSE)*IF(Model!$AD$23=1,$C$51,$C$52))/60)*Model!$AD$17+2</f>
        <v>10.565</v>
      </c>
      <c r="H21">
        <f>(VLOOKUP($B21,'Time-Distance'!$B$17:$M$28,MATCH(H$17,'Time-Distance'!$B$17:$M$17,0),FALSE)/60)*Model!$AD$17+((VLOOKUP($B21,'Time-Distance'!$O$17:$Z$28,MATCH(H$17,'Time-Distance'!$O$17:$Z$17,0),FALSE)*IF(Model!$AD$23=1,$C$51,$C$52))/60)*Model!$AD$17+2</f>
        <v>12.065</v>
      </c>
      <c r="I21">
        <f>(VLOOKUP($B21,'Time-Distance'!$B$17:$M$28,MATCH(I$17,'Time-Distance'!$B$17:$M$17,0),FALSE)/60)*Model!$AD$17+((VLOOKUP($B21,'Time-Distance'!$O$17:$Z$28,MATCH(I$17,'Time-Distance'!$O$17:$Z$17,0),FALSE)*IF(Model!$AD$23=1,$C$51,$C$52))/60)*Model!$AD$17+2</f>
        <v>15.065</v>
      </c>
      <c r="J21">
        <f>(VLOOKUP($B21,'Time-Distance'!$B$17:$M$28,MATCH(J$17,'Time-Distance'!$B$17:$M$17,0),FALSE)/60)*Model!$AD$17+((VLOOKUP($B21,'Time-Distance'!$O$17:$Z$28,MATCH(J$17,'Time-Distance'!$O$17:$Z$17,0),FALSE)*IF(Model!$AD$23=1,$C$51,$C$52))/60)*Model!$AD$17+2</f>
        <v>19.13</v>
      </c>
      <c r="K21">
        <f>(VLOOKUP($B21,'Time-Distance'!$B$17:$M$28,MATCH(K$17,'Time-Distance'!$B$17:$M$17,0),FALSE)/60)*Model!$AD$17+((VLOOKUP($B21,'Time-Distance'!$O$17:$Z$28,MATCH(K$17,'Time-Distance'!$O$17:$Z$17,0),FALSE)*IF(Model!$AD$23=1,$C$51,$C$52))/60)*Model!$AD$17+2</f>
        <v>15.065</v>
      </c>
      <c r="L21">
        <f>(VLOOKUP($B21,'Time-Distance'!$B$17:$M$28,MATCH(L$17,'Time-Distance'!$B$17:$M$17,0),FALSE)/60)*Model!$AD$17+((VLOOKUP($B21,'Time-Distance'!$O$17:$Z$28,MATCH(L$17,'Time-Distance'!$O$17:$Z$17,0),FALSE)*IF(Model!$AD$23=1,$C$51,$C$52))/60)*Model!$AD$17+2</f>
        <v>10.065</v>
      </c>
      <c r="M21">
        <f>(VLOOKUP($B21,'Time-Distance'!$B$17:$M$28,MATCH(M$17,'Time-Distance'!$B$17:$M$17,0),FALSE)/60)*Model!$AD$17+((VLOOKUP($B21,'Time-Distance'!$O$17:$Z$28,MATCH(M$17,'Time-Distance'!$O$17:$Z$17,0),FALSE)*IF(Model!$AD$23=1,$C$51,$C$52))/60)*Model!$AD$17+2</f>
        <v>17.13</v>
      </c>
    </row>
    <row r="22" spans="2:13">
      <c r="B22" t="s">
        <v>59</v>
      </c>
      <c r="C22">
        <f>(VLOOKUP($B22,'Time-Distance'!$B$17:$M$28,MATCH(C$17,'Time-Distance'!$B$17:$M$17,0),FALSE)/60)*Model!$AD$17+((VLOOKUP($B22,'Time-Distance'!$O$17:$Z$28,MATCH(C$17,'Time-Distance'!$O$17:$Z$17,0),FALSE)*IF(Model!$AD$23=1,$C$51,$C$52))/60)*Model!$AD$17+2</f>
        <v>8.0649999999999995</v>
      </c>
      <c r="D22">
        <f>(VLOOKUP($B22,'Time-Distance'!$B$17:$M$28,MATCH(D$17,'Time-Distance'!$B$17:$M$17,0),FALSE)/60)*Model!$AD$17+((VLOOKUP($B22,'Time-Distance'!$O$17:$Z$28,MATCH(D$17,'Time-Distance'!$O$17:$Z$17,0),FALSE)*IF(Model!$AD$23=1,$C$51,$C$52))/60)*Model!$AD$17+2</f>
        <v>7.5649999999999995</v>
      </c>
      <c r="E22">
        <f>(VLOOKUP($B22,'Time-Distance'!$B$17:$M$28,MATCH(E$17,'Time-Distance'!$B$17:$M$17,0),FALSE)/60)*Model!$AD$17+((VLOOKUP($B22,'Time-Distance'!$O$17:$Z$28,MATCH(E$17,'Time-Distance'!$O$17:$Z$17,0),FALSE)*IF(Model!$AD$23=1,$C$51,$C$52))/60)*Model!$AD$17+2</f>
        <v>10.565</v>
      </c>
      <c r="F22">
        <f>(VLOOKUP($B22,'Time-Distance'!$B$17:$M$28,MATCH(F$17,'Time-Distance'!$B$17:$M$17,0),FALSE)/60)*Model!$AD$17+((VLOOKUP($B22,'Time-Distance'!$O$17:$Z$28,MATCH(F$17,'Time-Distance'!$O$17:$Z$17,0),FALSE)*IF(Model!$AD$23=1,$C$51,$C$52))/60)*Model!$AD$17+2</f>
        <v>10.565</v>
      </c>
      <c r="G22">
        <f>(VLOOKUP($B22,'Time-Distance'!$B$17:$M$28,MATCH(G$17,'Time-Distance'!$B$17:$M$17,0),FALSE)/60)*Model!$AD$17+((VLOOKUP($B22,'Time-Distance'!$O$17:$Z$28,MATCH(G$17,'Time-Distance'!$O$17:$Z$17,0),FALSE)*IF(Model!$AD$23=1,$C$51,$C$52))/60)*Model!$AD$17+2</f>
        <v>2</v>
      </c>
      <c r="H22">
        <f>(VLOOKUP($B22,'Time-Distance'!$B$17:$M$28,MATCH(H$17,'Time-Distance'!$B$17:$M$17,0),FALSE)/60)*Model!$AD$17+((VLOOKUP($B22,'Time-Distance'!$O$17:$Z$28,MATCH(H$17,'Time-Distance'!$O$17:$Z$17,0),FALSE)*IF(Model!$AD$23=1,$C$51,$C$52))/60)*Model!$AD$17+2</f>
        <v>504.06500000000005</v>
      </c>
      <c r="I22">
        <f>(VLOOKUP($B22,'Time-Distance'!$B$17:$M$28,MATCH(I$17,'Time-Distance'!$B$17:$M$17,0),FALSE)/60)*Model!$AD$17+((VLOOKUP($B22,'Time-Distance'!$O$17:$Z$28,MATCH(I$17,'Time-Distance'!$O$17:$Z$17,0),FALSE)*IF(Model!$AD$23=1,$C$51,$C$52))/60)*Model!$AD$17+2</f>
        <v>14.629999999999999</v>
      </c>
      <c r="J22">
        <f>(VLOOKUP($B22,'Time-Distance'!$B$17:$M$28,MATCH(J$17,'Time-Distance'!$B$17:$M$17,0),FALSE)/60)*Model!$AD$17+((VLOOKUP($B22,'Time-Distance'!$O$17:$Z$28,MATCH(J$17,'Time-Distance'!$O$17:$Z$17,0),FALSE)*IF(Model!$AD$23=1,$C$51,$C$52))/60)*Model!$AD$17+2</f>
        <v>12.565</v>
      </c>
      <c r="K22">
        <f>(VLOOKUP($B22,'Time-Distance'!$B$17:$M$28,MATCH(K$17,'Time-Distance'!$B$17:$M$17,0),FALSE)/60)*Model!$AD$17+((VLOOKUP($B22,'Time-Distance'!$O$17:$Z$28,MATCH(K$17,'Time-Distance'!$O$17:$Z$17,0),FALSE)*IF(Model!$AD$23=1,$C$51,$C$52))/60)*Model!$AD$17+2</f>
        <v>19.695</v>
      </c>
      <c r="L22">
        <f>(VLOOKUP($B22,'Time-Distance'!$B$17:$M$28,MATCH(L$17,'Time-Distance'!$B$17:$M$17,0),FALSE)/60)*Model!$AD$17+((VLOOKUP($B22,'Time-Distance'!$O$17:$Z$28,MATCH(L$17,'Time-Distance'!$O$17:$Z$17,0),FALSE)*IF(Model!$AD$23=1,$C$51,$C$52))/60)*Model!$AD$17+2</f>
        <v>10.565</v>
      </c>
      <c r="M22">
        <f>(VLOOKUP($B22,'Time-Distance'!$B$17:$M$28,MATCH(M$17,'Time-Distance'!$B$17:$M$17,0),FALSE)/60)*Model!$AD$17+((VLOOKUP($B22,'Time-Distance'!$O$17:$Z$28,MATCH(M$17,'Time-Distance'!$O$17:$Z$17,0),FALSE)*IF(Model!$AD$23=1,$C$51,$C$52))/60)*Model!$AD$17+2</f>
        <v>10.065</v>
      </c>
    </row>
    <row r="23" spans="2:13">
      <c r="B23" t="s">
        <v>60</v>
      </c>
      <c r="C23">
        <f>(VLOOKUP($B23,'Time-Distance'!$B$17:$M$28,MATCH(C$17,'Time-Distance'!$B$17:$M$17,0),FALSE)/60)*Model!$AD$17+((VLOOKUP($B23,'Time-Distance'!$O$17:$Z$28,MATCH(C$17,'Time-Distance'!$O$17:$Z$17,0),FALSE)*IF(Model!$AD$23=1,$C$51,$C$52))/60)*Model!$AD$17+2</f>
        <v>10.565</v>
      </c>
      <c r="D23">
        <f>(VLOOKUP($B23,'Time-Distance'!$B$17:$M$28,MATCH(D$17,'Time-Distance'!$B$17:$M$17,0),FALSE)/60)*Model!$AD$17+((VLOOKUP($B23,'Time-Distance'!$O$17:$Z$28,MATCH(D$17,'Time-Distance'!$O$17:$Z$17,0),FALSE)*IF(Model!$AD$23=1,$C$51,$C$52))/60)*Model!$AD$17+2</f>
        <v>9.0649999999999995</v>
      </c>
      <c r="E23">
        <f>(VLOOKUP($B23,'Time-Distance'!$B$17:$M$28,MATCH(E$17,'Time-Distance'!$B$17:$M$17,0),FALSE)/60)*Model!$AD$17+((VLOOKUP($B23,'Time-Distance'!$O$17:$Z$28,MATCH(E$17,'Time-Distance'!$O$17:$Z$17,0),FALSE)*IF(Model!$AD$23=1,$C$51,$C$52))/60)*Model!$AD$17+2</f>
        <v>11.065</v>
      </c>
      <c r="F23">
        <f>(VLOOKUP($B23,'Time-Distance'!$B$17:$M$28,MATCH(F$17,'Time-Distance'!$B$17:$M$17,0),FALSE)/60)*Model!$AD$17+((VLOOKUP($B23,'Time-Distance'!$O$17:$Z$28,MATCH(F$17,'Time-Distance'!$O$17:$Z$17,0),FALSE)*IF(Model!$AD$23=1,$C$51,$C$52))/60)*Model!$AD$17+2</f>
        <v>12.065</v>
      </c>
      <c r="G23">
        <f>(VLOOKUP($B23,'Time-Distance'!$B$17:$M$28,MATCH(G$17,'Time-Distance'!$B$17:$M$17,0),FALSE)/60)*Model!$AD$17+((VLOOKUP($B23,'Time-Distance'!$O$17:$Z$28,MATCH(G$17,'Time-Distance'!$O$17:$Z$17,0),FALSE)*IF(Model!$AD$23=1,$C$51,$C$52))/60)*Model!$AD$17+2</f>
        <v>504.06500000000005</v>
      </c>
      <c r="H23">
        <f>(VLOOKUP($B23,'Time-Distance'!$B$17:$M$28,MATCH(H$17,'Time-Distance'!$B$17:$M$17,0),FALSE)/60)*Model!$AD$17+((VLOOKUP($B23,'Time-Distance'!$O$17:$Z$28,MATCH(H$17,'Time-Distance'!$O$17:$Z$17,0),FALSE)*IF(Model!$AD$23=1,$C$51,$C$52))/60)*Model!$AD$17+2</f>
        <v>2</v>
      </c>
      <c r="I23">
        <f>(VLOOKUP($B23,'Time-Distance'!$B$17:$M$28,MATCH(I$17,'Time-Distance'!$B$17:$M$17,0),FALSE)/60)*Model!$AD$17+((VLOOKUP($B23,'Time-Distance'!$O$17:$Z$28,MATCH(I$17,'Time-Distance'!$O$17:$Z$17,0),FALSE)*IF(Model!$AD$23=1,$C$51,$C$52))/60)*Model!$AD$17+2</f>
        <v>16.63</v>
      </c>
      <c r="J23">
        <f>(VLOOKUP($B23,'Time-Distance'!$B$17:$M$28,MATCH(J$17,'Time-Distance'!$B$17:$M$17,0),FALSE)/60)*Model!$AD$17+((VLOOKUP($B23,'Time-Distance'!$O$17:$Z$28,MATCH(J$17,'Time-Distance'!$O$17:$Z$17,0),FALSE)*IF(Model!$AD$23=1,$C$51,$C$52))/60)*Model!$AD$17+2</f>
        <v>12.065</v>
      </c>
      <c r="K23">
        <f>(VLOOKUP($B23,'Time-Distance'!$B$17:$M$28,MATCH(K$17,'Time-Distance'!$B$17:$M$17,0),FALSE)/60)*Model!$AD$17+((VLOOKUP($B23,'Time-Distance'!$O$17:$Z$28,MATCH(K$17,'Time-Distance'!$O$17:$Z$17,0),FALSE)*IF(Model!$AD$23=1,$C$51,$C$52))/60)*Model!$AD$17+2</f>
        <v>20.63</v>
      </c>
      <c r="L23">
        <f>(VLOOKUP($B23,'Time-Distance'!$B$17:$M$28,MATCH(L$17,'Time-Distance'!$B$17:$M$17,0),FALSE)/60)*Model!$AD$17+((VLOOKUP($B23,'Time-Distance'!$O$17:$Z$28,MATCH(L$17,'Time-Distance'!$O$17:$Z$17,0),FALSE)*IF(Model!$AD$23=1,$C$51,$C$52))/60)*Model!$AD$17+2</f>
        <v>504.06500000000005</v>
      </c>
      <c r="M23">
        <f>(VLOOKUP($B23,'Time-Distance'!$B$17:$M$28,MATCH(M$17,'Time-Distance'!$B$17:$M$17,0),FALSE)/60)*Model!$AD$17+((VLOOKUP($B23,'Time-Distance'!$O$17:$Z$28,MATCH(M$17,'Time-Distance'!$O$17:$Z$17,0),FALSE)*IF(Model!$AD$23=1,$C$51,$C$52))/60)*Model!$AD$17+2</f>
        <v>10.565</v>
      </c>
    </row>
    <row r="24" spans="2:13">
      <c r="B24" t="s">
        <v>13</v>
      </c>
      <c r="C24">
        <f>(VLOOKUP($B24,'Time-Distance'!$B$17:$M$28,MATCH(C$17,'Time-Distance'!$B$17:$M$17,0),FALSE)/60)*Model!$AD$17+((VLOOKUP($B24,'Time-Distance'!$O$17:$Z$28,MATCH(C$17,'Time-Distance'!$O$17:$Z$17,0),FALSE)*IF(Model!$AD$23=1,$C$51,$C$52))/60)*Model!$AD$17+2</f>
        <v>10.565</v>
      </c>
      <c r="D24">
        <f>(VLOOKUP($B24,'Time-Distance'!$B$17:$M$28,MATCH(D$17,'Time-Distance'!$B$17:$M$17,0),FALSE)/60)*Model!$AD$17+((VLOOKUP($B24,'Time-Distance'!$O$17:$Z$28,MATCH(D$17,'Time-Distance'!$O$17:$Z$17,0),FALSE)*IF(Model!$AD$23=1,$C$51,$C$52))/60)*Model!$AD$17+2</f>
        <v>16.13</v>
      </c>
      <c r="E24">
        <f>(VLOOKUP($B24,'Time-Distance'!$B$17:$M$28,MATCH(E$17,'Time-Distance'!$B$17:$M$17,0),FALSE)/60)*Model!$AD$17+((VLOOKUP($B24,'Time-Distance'!$O$17:$Z$28,MATCH(E$17,'Time-Distance'!$O$17:$Z$17,0),FALSE)*IF(Model!$AD$23=1,$C$51,$C$52))/60)*Model!$AD$17+2</f>
        <v>15.129999999999999</v>
      </c>
      <c r="F24">
        <f>(VLOOKUP($B24,'Time-Distance'!$B$17:$M$28,MATCH(F$17,'Time-Distance'!$B$17:$M$17,0),FALSE)/60)*Model!$AD$17+((VLOOKUP($B24,'Time-Distance'!$O$17:$Z$28,MATCH(F$17,'Time-Distance'!$O$17:$Z$17,0),FALSE)*IF(Model!$AD$23=1,$C$51,$C$52))/60)*Model!$AD$17+2</f>
        <v>15.065</v>
      </c>
      <c r="G24">
        <f>(VLOOKUP($B24,'Time-Distance'!$B$17:$M$28,MATCH(G$17,'Time-Distance'!$B$17:$M$17,0),FALSE)/60)*Model!$AD$17+((VLOOKUP($B24,'Time-Distance'!$O$17:$Z$28,MATCH(G$17,'Time-Distance'!$O$17:$Z$17,0),FALSE)*IF(Model!$AD$23=1,$C$51,$C$52))/60)*Model!$AD$17+2</f>
        <v>14.629999999999999</v>
      </c>
      <c r="H24">
        <f>(VLOOKUP($B24,'Time-Distance'!$B$17:$M$28,MATCH(H$17,'Time-Distance'!$B$17:$M$17,0),FALSE)/60)*Model!$AD$17+((VLOOKUP($B24,'Time-Distance'!$O$17:$Z$28,MATCH(H$17,'Time-Distance'!$O$17:$Z$17,0),FALSE)*IF(Model!$AD$23=1,$C$51,$C$52))/60)*Model!$AD$17+2</f>
        <v>16.63</v>
      </c>
      <c r="I24">
        <f>(VLOOKUP($B24,'Time-Distance'!$B$17:$M$28,MATCH(I$17,'Time-Distance'!$B$17:$M$17,0),FALSE)/60)*Model!$AD$17+((VLOOKUP($B24,'Time-Distance'!$O$17:$Z$28,MATCH(I$17,'Time-Distance'!$O$17:$Z$17,0),FALSE)*IF(Model!$AD$23=1,$C$51,$C$52))/60)*Model!$AD$17+2</f>
        <v>2</v>
      </c>
      <c r="J24">
        <f>(VLOOKUP($B24,'Time-Distance'!$B$17:$M$28,MATCH(J$17,'Time-Distance'!$B$17:$M$17,0),FALSE)/60)*Model!$AD$17+((VLOOKUP($B24,'Time-Distance'!$O$17:$Z$28,MATCH(J$17,'Time-Distance'!$O$17:$Z$17,0),FALSE)*IF(Model!$AD$23=1,$C$51,$C$52))/60)*Model!$AD$17+2</f>
        <v>13.065</v>
      </c>
      <c r="K24">
        <f>(VLOOKUP($B24,'Time-Distance'!$B$17:$M$28,MATCH(K$17,'Time-Distance'!$B$17:$M$17,0),FALSE)/60)*Model!$AD$17+((VLOOKUP($B24,'Time-Distance'!$O$17:$Z$28,MATCH(K$17,'Time-Distance'!$O$17:$Z$17,0),FALSE)*IF(Model!$AD$23=1,$C$51,$C$52))/60)*Model!$AD$17+2</f>
        <v>12.565</v>
      </c>
      <c r="L24">
        <f>(VLOOKUP($B24,'Time-Distance'!$B$17:$M$28,MATCH(L$17,'Time-Distance'!$B$17:$M$17,0),FALSE)/60)*Model!$AD$17+((VLOOKUP($B24,'Time-Distance'!$O$17:$Z$28,MATCH(L$17,'Time-Distance'!$O$17:$Z$17,0),FALSE)*IF(Model!$AD$23=1,$C$51,$C$52))/60)*Model!$AD$17+2</f>
        <v>13.065</v>
      </c>
      <c r="M24">
        <f>(VLOOKUP($B24,'Time-Distance'!$B$17:$M$28,MATCH(M$17,'Time-Distance'!$B$17:$M$17,0),FALSE)/60)*Model!$AD$17+((VLOOKUP($B24,'Time-Distance'!$O$17:$Z$28,MATCH(M$17,'Time-Distance'!$O$17:$Z$17,0),FALSE)*IF(Model!$AD$23=1,$C$51,$C$52))/60)*Model!$AD$17+2</f>
        <v>10.065</v>
      </c>
    </row>
    <row r="25" spans="2:13">
      <c r="B25" t="s">
        <v>15</v>
      </c>
      <c r="C25">
        <f>(VLOOKUP($B25,'Time-Distance'!$B$17:$M$28,MATCH(C$17,'Time-Distance'!$B$17:$M$17,0),FALSE)/60)*Model!$AD$17+((VLOOKUP($B25,'Time-Distance'!$O$17:$Z$28,MATCH(C$17,'Time-Distance'!$O$17:$Z$17,0),FALSE)*IF(Model!$AD$23=1,$C$51,$C$52))/60)*Model!$AD$17+2</f>
        <v>13.065</v>
      </c>
      <c r="D25">
        <f>(VLOOKUP($B25,'Time-Distance'!$B$17:$M$28,MATCH(D$17,'Time-Distance'!$B$17:$M$17,0),FALSE)/60)*Model!$AD$17+((VLOOKUP($B25,'Time-Distance'!$O$17:$Z$28,MATCH(D$17,'Time-Distance'!$O$17:$Z$17,0),FALSE)*IF(Model!$AD$23=1,$C$51,$C$52))/60)*Model!$AD$17+2</f>
        <v>11.065</v>
      </c>
      <c r="E25">
        <f>(VLOOKUP($B25,'Time-Distance'!$B$17:$M$28,MATCH(E$17,'Time-Distance'!$B$17:$M$17,0),FALSE)/60)*Model!$AD$17+((VLOOKUP($B25,'Time-Distance'!$O$17:$Z$28,MATCH(E$17,'Time-Distance'!$O$17:$Z$17,0),FALSE)*IF(Model!$AD$23=1,$C$51,$C$52))/60)*Model!$AD$17+2</f>
        <v>11.065</v>
      </c>
      <c r="F25">
        <f>(VLOOKUP($B25,'Time-Distance'!$B$17:$M$28,MATCH(F$17,'Time-Distance'!$B$17:$M$17,0),FALSE)/60)*Model!$AD$17+((VLOOKUP($B25,'Time-Distance'!$O$17:$Z$28,MATCH(F$17,'Time-Distance'!$O$17:$Z$17,0),FALSE)*IF(Model!$AD$23=1,$C$51,$C$52))/60)*Model!$AD$17+2</f>
        <v>19.13</v>
      </c>
      <c r="G25">
        <f>(VLOOKUP($B25,'Time-Distance'!$B$17:$M$28,MATCH(G$17,'Time-Distance'!$B$17:$M$17,0),FALSE)/60)*Model!$AD$17+((VLOOKUP($B25,'Time-Distance'!$O$17:$Z$28,MATCH(G$17,'Time-Distance'!$O$17:$Z$17,0),FALSE)*IF(Model!$AD$23=1,$C$51,$C$52))/60)*Model!$AD$17+2</f>
        <v>12.565</v>
      </c>
      <c r="H25">
        <f>(VLOOKUP($B25,'Time-Distance'!$B$17:$M$28,MATCH(H$17,'Time-Distance'!$B$17:$M$17,0),FALSE)/60)*Model!$AD$17+((VLOOKUP($B25,'Time-Distance'!$O$17:$Z$28,MATCH(H$17,'Time-Distance'!$O$17:$Z$17,0),FALSE)*IF(Model!$AD$23=1,$C$51,$C$52))/60)*Model!$AD$17+2</f>
        <v>12.065</v>
      </c>
      <c r="I25">
        <f>(VLOOKUP($B25,'Time-Distance'!$B$17:$M$28,MATCH(I$17,'Time-Distance'!$B$17:$M$17,0),FALSE)/60)*Model!$AD$17+((VLOOKUP($B25,'Time-Distance'!$O$17:$Z$28,MATCH(I$17,'Time-Distance'!$O$17:$Z$17,0),FALSE)*IF(Model!$AD$23=1,$C$51,$C$52))/60)*Model!$AD$17+2</f>
        <v>13.065</v>
      </c>
      <c r="J25">
        <f>(VLOOKUP($B25,'Time-Distance'!$B$17:$M$28,MATCH(J$17,'Time-Distance'!$B$17:$M$17,0),FALSE)/60)*Model!$AD$17+((VLOOKUP($B25,'Time-Distance'!$O$17:$Z$28,MATCH(J$17,'Time-Distance'!$O$17:$Z$17,0),FALSE)*IF(Model!$AD$23=1,$C$51,$C$52))/60)*Model!$AD$17+2</f>
        <v>2</v>
      </c>
      <c r="K25">
        <f>(VLOOKUP($B25,'Time-Distance'!$B$17:$M$28,MATCH(K$17,'Time-Distance'!$B$17:$M$17,0),FALSE)/60)*Model!$AD$17+((VLOOKUP($B25,'Time-Distance'!$O$17:$Z$28,MATCH(K$17,'Time-Distance'!$O$17:$Z$17,0),FALSE)*IF(Model!$AD$23=1,$C$51,$C$52))/60)*Model!$AD$17+2</f>
        <v>18.13</v>
      </c>
      <c r="L25">
        <f>(VLOOKUP($B25,'Time-Distance'!$B$17:$M$28,MATCH(L$17,'Time-Distance'!$B$17:$M$17,0),FALSE)/60)*Model!$AD$17+((VLOOKUP($B25,'Time-Distance'!$O$17:$Z$28,MATCH(L$17,'Time-Distance'!$O$17:$Z$17,0),FALSE)*IF(Model!$AD$23=1,$C$51,$C$52))/60)*Model!$AD$17+2</f>
        <v>14.565</v>
      </c>
      <c r="M25">
        <f>(VLOOKUP($B25,'Time-Distance'!$B$17:$M$28,MATCH(M$17,'Time-Distance'!$B$17:$M$17,0),FALSE)/60)*Model!$AD$17+((VLOOKUP($B25,'Time-Distance'!$O$17:$Z$28,MATCH(M$17,'Time-Distance'!$O$17:$Z$17,0),FALSE)*IF(Model!$AD$23=1,$C$51,$C$52))/60)*Model!$AD$17+2</f>
        <v>10.565</v>
      </c>
    </row>
    <row r="26" spans="2:13">
      <c r="B26" t="s">
        <v>14</v>
      </c>
      <c r="C26">
        <f>(VLOOKUP($B26,'Time-Distance'!$B$17:$M$28,MATCH(C$17,'Time-Distance'!$B$17:$M$17,0),FALSE)/60)*Model!$AD$17+((VLOOKUP($B26,'Time-Distance'!$O$17:$Z$28,MATCH(C$17,'Time-Distance'!$O$17:$Z$17,0),FALSE)*IF(Model!$AD$23=1,$C$51,$C$52))/60)*Model!$AD$17+2</f>
        <v>13.065</v>
      </c>
      <c r="D26">
        <f>(VLOOKUP($B26,'Time-Distance'!$B$17:$M$28,MATCH(D$17,'Time-Distance'!$B$17:$M$17,0),FALSE)/60)*Model!$AD$17+((VLOOKUP($B26,'Time-Distance'!$O$17:$Z$28,MATCH(D$17,'Time-Distance'!$O$17:$Z$17,0),FALSE)*IF(Model!$AD$23=1,$C$51,$C$52))/60)*Model!$AD$17+2</f>
        <v>19.63</v>
      </c>
      <c r="E26">
        <f>(VLOOKUP($B26,'Time-Distance'!$B$17:$M$28,MATCH(E$17,'Time-Distance'!$B$17:$M$17,0),FALSE)/60)*Model!$AD$17+((VLOOKUP($B26,'Time-Distance'!$O$17:$Z$28,MATCH(E$17,'Time-Distance'!$O$17:$Z$17,0),FALSE)*IF(Model!$AD$23=1,$C$51,$C$52))/60)*Model!$AD$17+2</f>
        <v>12.065</v>
      </c>
      <c r="F26">
        <f>(VLOOKUP($B26,'Time-Distance'!$B$17:$M$28,MATCH(F$17,'Time-Distance'!$B$17:$M$17,0),FALSE)/60)*Model!$AD$17+((VLOOKUP($B26,'Time-Distance'!$O$17:$Z$28,MATCH(F$17,'Time-Distance'!$O$17:$Z$17,0),FALSE)*IF(Model!$AD$23=1,$C$51,$C$52))/60)*Model!$AD$17+2</f>
        <v>15.065</v>
      </c>
      <c r="G26">
        <f>(VLOOKUP($B26,'Time-Distance'!$B$17:$M$28,MATCH(G$17,'Time-Distance'!$B$17:$M$17,0),FALSE)/60)*Model!$AD$17+((VLOOKUP($B26,'Time-Distance'!$O$17:$Z$28,MATCH(G$17,'Time-Distance'!$O$17:$Z$17,0),FALSE)*IF(Model!$AD$23=1,$C$51,$C$52))/60)*Model!$AD$17+2</f>
        <v>19.695</v>
      </c>
      <c r="H26">
        <f>(VLOOKUP($B26,'Time-Distance'!$B$17:$M$28,MATCH(H$17,'Time-Distance'!$B$17:$M$17,0),FALSE)/60)*Model!$AD$17+((VLOOKUP($B26,'Time-Distance'!$O$17:$Z$28,MATCH(H$17,'Time-Distance'!$O$17:$Z$17,0),FALSE)*IF(Model!$AD$23=1,$C$51,$C$52))/60)*Model!$AD$17+2</f>
        <v>20.63</v>
      </c>
      <c r="I26">
        <f>(VLOOKUP($B26,'Time-Distance'!$B$17:$M$28,MATCH(I$17,'Time-Distance'!$B$17:$M$17,0),FALSE)/60)*Model!$AD$17+((VLOOKUP($B26,'Time-Distance'!$O$17:$Z$28,MATCH(I$17,'Time-Distance'!$O$17:$Z$17,0),FALSE)*IF(Model!$AD$23=1,$C$51,$C$52))/60)*Model!$AD$17+2</f>
        <v>12.565</v>
      </c>
      <c r="J26">
        <f>(VLOOKUP($B26,'Time-Distance'!$B$17:$M$28,MATCH(J$17,'Time-Distance'!$B$17:$M$17,0),FALSE)/60)*Model!$AD$17+((VLOOKUP($B26,'Time-Distance'!$O$17:$Z$28,MATCH(J$17,'Time-Distance'!$O$17:$Z$17,0),FALSE)*IF(Model!$AD$23=1,$C$51,$C$52))/60)*Model!$AD$17+2</f>
        <v>18.13</v>
      </c>
      <c r="K26">
        <f>(VLOOKUP($B26,'Time-Distance'!$B$17:$M$28,MATCH(K$17,'Time-Distance'!$B$17:$M$17,0),FALSE)/60)*Model!$AD$17+((VLOOKUP($B26,'Time-Distance'!$O$17:$Z$28,MATCH(K$17,'Time-Distance'!$O$17:$Z$17,0),FALSE)*IF(Model!$AD$23=1,$C$51,$C$52))/60)*Model!$AD$17+2</f>
        <v>2</v>
      </c>
      <c r="L26">
        <f>(VLOOKUP($B26,'Time-Distance'!$B$17:$M$28,MATCH(L$17,'Time-Distance'!$B$17:$M$17,0),FALSE)/60)*Model!$AD$17+((VLOOKUP($B26,'Time-Distance'!$O$17:$Z$28,MATCH(L$17,'Time-Distance'!$O$17:$Z$17,0),FALSE)*IF(Model!$AD$23=1,$C$51,$C$52))/60)*Model!$AD$17+2</f>
        <v>15.565</v>
      </c>
      <c r="M26">
        <f>(VLOOKUP($B26,'Time-Distance'!$B$17:$M$28,MATCH(M$17,'Time-Distance'!$B$17:$M$17,0),FALSE)/60)*Model!$AD$17+((VLOOKUP($B26,'Time-Distance'!$O$17:$Z$28,MATCH(M$17,'Time-Distance'!$O$17:$Z$17,0),FALSE)*IF(Model!$AD$23=1,$C$51,$C$52))/60)*Model!$AD$17+2</f>
        <v>14.065</v>
      </c>
    </row>
    <row r="27" spans="2:13">
      <c r="B27" t="s">
        <v>61</v>
      </c>
      <c r="C27">
        <f>(VLOOKUP($B27,'Time-Distance'!$B$17:$M$28,MATCH(C$17,'Time-Distance'!$B$17:$M$17,0),FALSE)/60)*Model!$AD$17+((VLOOKUP($B27,'Time-Distance'!$O$17:$Z$28,MATCH(C$17,'Time-Distance'!$O$17:$Z$17,0),FALSE)*IF(Model!$AD$23=1,$C$51,$C$52))/60)*Model!$AD$17+2</f>
        <v>9.0649999999999995</v>
      </c>
      <c r="D27">
        <f>(VLOOKUP($B27,'Time-Distance'!$B$17:$M$28,MATCH(D$17,'Time-Distance'!$B$17:$M$17,0),FALSE)/60)*Model!$AD$17+((VLOOKUP($B27,'Time-Distance'!$O$17:$Z$28,MATCH(D$17,'Time-Distance'!$O$17:$Z$17,0),FALSE)*IF(Model!$AD$23=1,$C$51,$C$52))/60)*Model!$AD$17+2</f>
        <v>14.129999999999999</v>
      </c>
      <c r="E27">
        <f>(VLOOKUP($B27,'Time-Distance'!$B$17:$M$28,MATCH(E$17,'Time-Distance'!$B$17:$M$17,0),FALSE)/60)*Model!$AD$17+((VLOOKUP($B27,'Time-Distance'!$O$17:$Z$28,MATCH(E$17,'Time-Distance'!$O$17:$Z$17,0),FALSE)*IF(Model!$AD$23=1,$C$51,$C$52))/60)*Model!$AD$17+2</f>
        <v>12.565</v>
      </c>
      <c r="F27">
        <f>(VLOOKUP($B27,'Time-Distance'!$B$17:$M$28,MATCH(F$17,'Time-Distance'!$B$17:$M$17,0),FALSE)/60)*Model!$AD$17+((VLOOKUP($B27,'Time-Distance'!$O$17:$Z$28,MATCH(F$17,'Time-Distance'!$O$17:$Z$17,0),FALSE)*IF(Model!$AD$23=1,$C$51,$C$52))/60)*Model!$AD$17+2</f>
        <v>10.065</v>
      </c>
      <c r="G27">
        <f>(VLOOKUP($B27,'Time-Distance'!$B$17:$M$28,MATCH(G$17,'Time-Distance'!$B$17:$M$17,0),FALSE)/60)*Model!$AD$17+((VLOOKUP($B27,'Time-Distance'!$O$17:$Z$28,MATCH(G$17,'Time-Distance'!$O$17:$Z$17,0),FALSE)*IF(Model!$AD$23=1,$C$51,$C$52))/60)*Model!$AD$17+2</f>
        <v>10.565</v>
      </c>
      <c r="H27">
        <f>(VLOOKUP($B27,'Time-Distance'!$B$17:$M$28,MATCH(H$17,'Time-Distance'!$B$17:$M$17,0),FALSE)/60)*Model!$AD$17+((VLOOKUP($B27,'Time-Distance'!$O$17:$Z$28,MATCH(H$17,'Time-Distance'!$O$17:$Z$17,0),FALSE)*IF(Model!$AD$23=1,$C$51,$C$52))/60)*Model!$AD$17+2</f>
        <v>504.06500000000005</v>
      </c>
      <c r="I27">
        <f>(VLOOKUP($B27,'Time-Distance'!$B$17:$M$28,MATCH(I$17,'Time-Distance'!$B$17:$M$17,0),FALSE)/60)*Model!$AD$17+((VLOOKUP($B27,'Time-Distance'!$O$17:$Z$28,MATCH(I$17,'Time-Distance'!$O$17:$Z$17,0),FALSE)*IF(Model!$AD$23=1,$C$51,$C$52))/60)*Model!$AD$17+2</f>
        <v>13.065</v>
      </c>
      <c r="J27">
        <f>(VLOOKUP($B27,'Time-Distance'!$B$17:$M$28,MATCH(J$17,'Time-Distance'!$B$17:$M$17,0),FALSE)/60)*Model!$AD$17+((VLOOKUP($B27,'Time-Distance'!$O$17:$Z$28,MATCH(J$17,'Time-Distance'!$O$17:$Z$17,0),FALSE)*IF(Model!$AD$23=1,$C$51,$C$52))/60)*Model!$AD$17+2</f>
        <v>14.565</v>
      </c>
      <c r="K27">
        <f>(VLOOKUP($B27,'Time-Distance'!$B$17:$M$28,MATCH(K$17,'Time-Distance'!$B$17:$M$17,0),FALSE)/60)*Model!$AD$17+((VLOOKUP($B27,'Time-Distance'!$O$17:$Z$28,MATCH(K$17,'Time-Distance'!$O$17:$Z$17,0),FALSE)*IF(Model!$AD$23=1,$C$51,$C$52))/60)*Model!$AD$17+2</f>
        <v>15.565</v>
      </c>
      <c r="L27">
        <f>(VLOOKUP($B27,'Time-Distance'!$B$17:$M$28,MATCH(L$17,'Time-Distance'!$B$17:$M$17,0),FALSE)/60)*Model!$AD$17+((VLOOKUP($B27,'Time-Distance'!$O$17:$Z$28,MATCH(L$17,'Time-Distance'!$O$17:$Z$17,0),FALSE)*IF(Model!$AD$23=1,$C$51,$C$52))/60)*Model!$AD$17+2</f>
        <v>2</v>
      </c>
      <c r="M27">
        <f>(VLOOKUP($B27,'Time-Distance'!$B$17:$M$28,MATCH(M$17,'Time-Distance'!$B$17:$M$17,0),FALSE)/60)*Model!$AD$17+((VLOOKUP($B27,'Time-Distance'!$O$17:$Z$28,MATCH(M$17,'Time-Distance'!$O$17:$Z$17,0),FALSE)*IF(Model!$AD$23=1,$C$51,$C$52))/60)*Model!$AD$17+2</f>
        <v>11.565</v>
      </c>
    </row>
    <row r="28" spans="2:13">
      <c r="B28" t="s">
        <v>62</v>
      </c>
      <c r="C28">
        <f>(VLOOKUP($B28,'Time-Distance'!$B$17:$M$28,MATCH(C$17,'Time-Distance'!$B$17:$M$17,0),FALSE)/60)*Model!$AD$17+((VLOOKUP($B28,'Time-Distance'!$O$17:$Z$28,MATCH(C$17,'Time-Distance'!$O$17:$Z$17,0),FALSE)*IF(Model!$AD$23=1,$C$51,$C$52))/60)*Model!$AD$17+2</f>
        <v>10.565</v>
      </c>
      <c r="D28">
        <f>(VLOOKUP($B28,'Time-Distance'!$B$17:$M$28,MATCH(D$17,'Time-Distance'!$B$17:$M$17,0),FALSE)/60)*Model!$AD$17+((VLOOKUP($B28,'Time-Distance'!$O$17:$Z$28,MATCH(D$17,'Time-Distance'!$O$17:$Z$17,0),FALSE)*IF(Model!$AD$23=1,$C$51,$C$52))/60)*Model!$AD$17+2</f>
        <v>14.129999999999999</v>
      </c>
      <c r="E28">
        <f>(VLOOKUP($B28,'Time-Distance'!$B$17:$M$28,MATCH(E$17,'Time-Distance'!$B$17:$M$17,0),FALSE)/60)*Model!$AD$17+((VLOOKUP($B28,'Time-Distance'!$O$17:$Z$28,MATCH(E$17,'Time-Distance'!$O$17:$Z$17,0),FALSE)*IF(Model!$AD$23=1,$C$51,$C$52))/60)*Model!$AD$17+2</f>
        <v>7.5649999999999995</v>
      </c>
      <c r="F28">
        <f>(VLOOKUP($B28,'Time-Distance'!$B$17:$M$28,MATCH(F$17,'Time-Distance'!$B$17:$M$17,0),FALSE)/60)*Model!$AD$17+((VLOOKUP($B28,'Time-Distance'!$O$17:$Z$28,MATCH(F$17,'Time-Distance'!$O$17:$Z$17,0),FALSE)*IF(Model!$AD$23=1,$C$51,$C$52))/60)*Model!$AD$17+2</f>
        <v>17.13</v>
      </c>
      <c r="G28">
        <f>(VLOOKUP($B28,'Time-Distance'!$B$17:$M$28,MATCH(G$17,'Time-Distance'!$B$17:$M$17,0),FALSE)/60)*Model!$AD$17+((VLOOKUP($B28,'Time-Distance'!$O$17:$Z$28,MATCH(G$17,'Time-Distance'!$O$17:$Z$17,0),FALSE)*IF(Model!$AD$23=1,$C$51,$C$52))/60)*Model!$AD$17+2</f>
        <v>10.065</v>
      </c>
      <c r="H28">
        <f>(VLOOKUP($B28,'Time-Distance'!$B$17:$M$28,MATCH(H$17,'Time-Distance'!$B$17:$M$17,0),FALSE)/60)*Model!$AD$17+((VLOOKUP($B28,'Time-Distance'!$O$17:$Z$28,MATCH(H$17,'Time-Distance'!$O$17:$Z$17,0),FALSE)*IF(Model!$AD$23=1,$C$51,$C$52))/60)*Model!$AD$17+2</f>
        <v>10.565</v>
      </c>
      <c r="I28">
        <f>(VLOOKUP($B28,'Time-Distance'!$B$17:$M$28,MATCH(I$17,'Time-Distance'!$B$17:$M$17,0),FALSE)/60)*Model!$AD$17+((VLOOKUP($B28,'Time-Distance'!$O$17:$Z$28,MATCH(I$17,'Time-Distance'!$O$17:$Z$17,0),FALSE)*IF(Model!$AD$23=1,$C$51,$C$52))/60)*Model!$AD$17+2</f>
        <v>10.065</v>
      </c>
      <c r="J28">
        <f>(VLOOKUP($B28,'Time-Distance'!$B$17:$M$28,MATCH(J$17,'Time-Distance'!$B$17:$M$17,0),FALSE)/60)*Model!$AD$17+((VLOOKUP($B28,'Time-Distance'!$O$17:$Z$28,MATCH(J$17,'Time-Distance'!$O$17:$Z$17,0),FALSE)*IF(Model!$AD$23=1,$C$51,$C$52))/60)*Model!$AD$17+2</f>
        <v>10.565</v>
      </c>
      <c r="K28">
        <f>(VLOOKUP($B28,'Time-Distance'!$B$17:$M$28,MATCH(K$17,'Time-Distance'!$B$17:$M$17,0),FALSE)/60)*Model!$AD$17+((VLOOKUP($B28,'Time-Distance'!$O$17:$Z$28,MATCH(K$17,'Time-Distance'!$O$17:$Z$17,0),FALSE)*IF(Model!$AD$23=1,$C$51,$C$52))/60)*Model!$AD$17+2</f>
        <v>14.065</v>
      </c>
      <c r="L28">
        <f>(VLOOKUP($B28,'Time-Distance'!$B$17:$M$28,MATCH(L$17,'Time-Distance'!$B$17:$M$17,0),FALSE)/60)*Model!$AD$17+((VLOOKUP($B28,'Time-Distance'!$O$17:$Z$28,MATCH(L$17,'Time-Distance'!$O$17:$Z$17,0),FALSE)*IF(Model!$AD$23=1,$C$51,$C$52))/60)*Model!$AD$17+2</f>
        <v>11.565</v>
      </c>
      <c r="M28">
        <f>(VLOOKUP($B28,'Time-Distance'!$B$17:$M$28,MATCH(M$17,'Time-Distance'!$B$17:$M$17,0),FALSE)/60)*Model!$AD$17+((VLOOKUP($B28,'Time-Distance'!$O$17:$Z$28,MATCH(M$17,'Time-Distance'!$O$17:$Z$17,0),FALSE)*IF(Model!$AD$23=1,$C$51,$C$52))/60)*Model!$AD$17+2</f>
        <v>2</v>
      </c>
    </row>
    <row r="29" spans="2:13">
      <c r="C29" s="41"/>
      <c r="D29" s="41"/>
      <c r="E29" s="41"/>
      <c r="F29" s="41"/>
      <c r="G29" s="41"/>
      <c r="H29" s="41"/>
    </row>
    <row r="30" spans="2:13">
      <c r="B30" s="14" t="s">
        <v>25</v>
      </c>
      <c r="C30" t="s">
        <v>57</v>
      </c>
      <c r="D30" t="s">
        <v>0</v>
      </c>
      <c r="E30" t="s">
        <v>12</v>
      </c>
      <c r="F30" t="s">
        <v>58</v>
      </c>
      <c r="G30" t="s">
        <v>59</v>
      </c>
      <c r="H30" t="s">
        <v>60</v>
      </c>
      <c r="I30" t="s">
        <v>13</v>
      </c>
      <c r="J30" t="s">
        <v>15</v>
      </c>
      <c r="K30" t="s">
        <v>14</v>
      </c>
      <c r="L30" t="s">
        <v>61</v>
      </c>
      <c r="M30" t="s">
        <v>62</v>
      </c>
    </row>
    <row r="31" spans="2:13">
      <c r="B31" t="s">
        <v>57</v>
      </c>
      <c r="C31">
        <f>(VLOOKUP($B31,'Time-Distance'!$B$31:$M$42,MATCH(C$30,'Time-Distance'!$B$31:$M$31,0),FALSE)/60)*Model!$AD$17+(IF(Model!$AD$23=1,costs!$C$55,costs!$C$56)/60)*Model!$AD$17+VLOOKUP(costs!$B31,'Time-Distance'!$AB$31:$AM$42,MATCH(C$30,'Time-Distance'!$AB$31:$AM$31,0),FALSE)</f>
        <v>3.5</v>
      </c>
      <c r="D31">
        <f>(VLOOKUP($B31,'Time-Distance'!$B$31:$M$42,MATCH(D$30,'Time-Distance'!$B$31:$M$31,0),FALSE)/60)*Model!$AD$17+(IF(Model!$AD$23=1,costs!$C$55,costs!$C$56)/60)*Model!$AD$17+VLOOKUP(costs!$B31,'Time-Distance'!$AB$31:$AM$42,MATCH(D$30,'Time-Distance'!$AB$31:$AM$31,0),FALSE)</f>
        <v>9.9</v>
      </c>
      <c r="E31">
        <f>(VLOOKUP($B31,'Time-Distance'!$B$31:$M$42,MATCH(E$30,'Time-Distance'!$B$31:$M$31,0),FALSE)/60)*Model!$AD$17+(IF(Model!$AD$23=1,costs!$C$55,costs!$C$56)/60)*Model!$AD$17+VLOOKUP(costs!$B31,'Time-Distance'!$AB$31:$AM$42,MATCH(E$30,'Time-Distance'!$AB$31:$AM$31,0),FALSE)</f>
        <v>13.6</v>
      </c>
      <c r="F31">
        <f>(VLOOKUP($B31,'Time-Distance'!$B$31:$M$42,MATCH(F$30,'Time-Distance'!$B$31:$M$31,0),FALSE)/60)*Model!$AD$17+(IF(Model!$AD$23=1,costs!$C$55,costs!$C$56)/60)*Model!$AD$17+VLOOKUP(costs!$B31,'Time-Distance'!$AB$31:$AM$42,MATCH(F$30,'Time-Distance'!$AB$31:$AM$31,0),FALSE)</f>
        <v>8.6</v>
      </c>
      <c r="G31">
        <f>(VLOOKUP($B31,'Time-Distance'!$B$31:$M$42,MATCH(G$30,'Time-Distance'!$B$31:$M$31,0),FALSE)/60)*Model!$AD$17+(IF(Model!$AD$23=1,costs!$C$55,costs!$C$56)/60)*Model!$AD$17+VLOOKUP(costs!$B31,'Time-Distance'!$AB$31:$AM$42,MATCH(G$30,'Time-Distance'!$AB$31:$AM$31,0),FALSE)</f>
        <v>6.8</v>
      </c>
      <c r="H31">
        <f>(VLOOKUP($B31,'Time-Distance'!$B$31:$M$42,MATCH(H$30,'Time-Distance'!$B$31:$M$31,0),FALSE)/60)*Model!$AD$17+(IF(Model!$AD$23=1,costs!$C$55,costs!$C$56)/60)*Model!$AD$17+VLOOKUP(costs!$B31,'Time-Distance'!$AB$31:$AM$42,MATCH(H$30,'Time-Distance'!$AB$31:$AM$31,0),FALSE)</f>
        <v>9.9</v>
      </c>
      <c r="I31">
        <f>(VLOOKUP($B31,'Time-Distance'!$B$31:$M$42,MATCH(I$30,'Time-Distance'!$B$31:$M$31,0),FALSE)/60)*Model!$AD$17+(IF(Model!$AD$23=1,costs!$C$55,costs!$C$56)/60)*Model!$AD$17+VLOOKUP(costs!$B31,'Time-Distance'!$AB$31:$AM$42,MATCH(I$30,'Time-Distance'!$AB$31:$AM$31,0),FALSE)</f>
        <v>6.8</v>
      </c>
      <c r="J31">
        <f>(VLOOKUP($B31,'Time-Distance'!$B$31:$M$42,MATCH(J$30,'Time-Distance'!$B$31:$M$31,0),FALSE)/60)*Model!$AD$17+(IF(Model!$AD$23=1,costs!$C$55,costs!$C$56)/60)*Model!$AD$17+VLOOKUP(costs!$B31,'Time-Distance'!$AB$31:$AM$42,MATCH(J$30,'Time-Distance'!$AB$31:$AM$31,0),FALSE)</f>
        <v>11.3</v>
      </c>
      <c r="K31">
        <f>(VLOOKUP($B31,'Time-Distance'!$B$31:$M$42,MATCH(K$30,'Time-Distance'!$B$31:$M$31,0),FALSE)/60)*Model!$AD$17+(IF(Model!$AD$23=1,costs!$C$55,costs!$C$56)/60)*Model!$AD$17+VLOOKUP(costs!$B31,'Time-Distance'!$AB$31:$AM$42,MATCH(K$30,'Time-Distance'!$AB$31:$AM$31,0),FALSE)</f>
        <v>14.5</v>
      </c>
      <c r="L31">
        <f>(VLOOKUP($B31,'Time-Distance'!$B$31:$M$42,MATCH(L$30,'Time-Distance'!$B$31:$M$31,0),FALSE)/60)*Model!$AD$17+(IF(Model!$AD$23=1,costs!$C$55,costs!$C$56)/60)*Model!$AD$17+VLOOKUP(costs!$B31,'Time-Distance'!$AB$31:$AM$42,MATCH(L$30,'Time-Distance'!$AB$31:$AM$31,0),FALSE)</f>
        <v>9.9</v>
      </c>
      <c r="M31">
        <f>(VLOOKUP($B31,'Time-Distance'!$B$31:$M$42,MATCH(M$30,'Time-Distance'!$B$31:$M$31,0),FALSE)/60)*Model!$AD$17+(IF(Model!$AD$23=1,costs!$C$55,costs!$C$56)/60)*Model!$AD$17+VLOOKUP(costs!$B31,'Time-Distance'!$AB$31:$AM$42,MATCH(M$30,'Time-Distance'!$AB$31:$AM$31,0),FALSE)</f>
        <v>9.5</v>
      </c>
    </row>
    <row r="32" spans="2:13">
      <c r="B32" t="s">
        <v>0</v>
      </c>
      <c r="C32">
        <f>(VLOOKUP($B32,'Time-Distance'!$B$31:$M$42,MATCH(C$30,'Time-Distance'!$B$31:$M$31,0),FALSE)/60)*Model!$AD$17+(IF(Model!$AD$23=1,costs!$C$55,costs!$C$56)/60)*Model!$AD$17+VLOOKUP(costs!$B32,'Time-Distance'!$AB$31:$AM$42,MATCH(C$30,'Time-Distance'!$AB$31:$AM$31,0),FALSE)</f>
        <v>9.9</v>
      </c>
      <c r="D32">
        <f>(VLOOKUP($B32,'Time-Distance'!$B$31:$M$42,MATCH(D$30,'Time-Distance'!$B$31:$M$31,0),FALSE)/60)*Model!$AD$17+(IF(Model!$AD$23=1,costs!$C$55,costs!$C$56)/60)*Model!$AD$17+VLOOKUP(costs!$B32,'Time-Distance'!$AB$31:$AM$42,MATCH(D$30,'Time-Distance'!$AB$31:$AM$31,0),FALSE)</f>
        <v>3.5</v>
      </c>
      <c r="E32">
        <f>(VLOOKUP($B32,'Time-Distance'!$B$31:$M$42,MATCH(E$30,'Time-Distance'!$B$31:$M$31,0),FALSE)/60)*Model!$AD$17+(IF(Model!$AD$23=1,costs!$C$55,costs!$C$56)/60)*Model!$AD$17+VLOOKUP(costs!$B32,'Time-Distance'!$AB$31:$AM$42,MATCH(E$30,'Time-Distance'!$AB$31:$AM$31,0),FALSE)</f>
        <v>14.6</v>
      </c>
      <c r="F32">
        <f>(VLOOKUP($B32,'Time-Distance'!$B$31:$M$42,MATCH(F$30,'Time-Distance'!$B$31:$M$31,0),FALSE)/60)*Model!$AD$17+(IF(Model!$AD$23=1,costs!$C$55,costs!$C$56)/60)*Model!$AD$17+VLOOKUP(costs!$B32,'Time-Distance'!$AB$31:$AM$42,MATCH(F$30,'Time-Distance'!$AB$31:$AM$31,0),FALSE)</f>
        <v>11</v>
      </c>
      <c r="G32">
        <f>(VLOOKUP($B32,'Time-Distance'!$B$31:$M$42,MATCH(G$30,'Time-Distance'!$B$31:$M$31,0),FALSE)/60)*Model!$AD$17+(IF(Model!$AD$23=1,costs!$C$55,costs!$C$56)/60)*Model!$AD$17+VLOOKUP(costs!$B32,'Time-Distance'!$AB$31:$AM$42,MATCH(G$30,'Time-Distance'!$AB$31:$AM$31,0),FALSE)</f>
        <v>6.2</v>
      </c>
      <c r="H32">
        <f>(VLOOKUP($B32,'Time-Distance'!$B$31:$M$42,MATCH(H$30,'Time-Distance'!$B$31:$M$31,0),FALSE)/60)*Model!$AD$17+(IF(Model!$AD$23=1,costs!$C$55,costs!$C$56)/60)*Model!$AD$17+VLOOKUP(costs!$B32,'Time-Distance'!$AB$31:$AM$42,MATCH(H$30,'Time-Distance'!$AB$31:$AM$31,0),FALSE)</f>
        <v>7.7</v>
      </c>
      <c r="I32">
        <f>(VLOOKUP($B32,'Time-Distance'!$B$31:$M$42,MATCH(I$30,'Time-Distance'!$B$31:$M$31,0),FALSE)/60)*Model!$AD$17+(IF(Model!$AD$23=1,costs!$C$55,costs!$C$56)/60)*Model!$AD$17+VLOOKUP(costs!$B32,'Time-Distance'!$AB$31:$AM$42,MATCH(I$30,'Time-Distance'!$AB$31:$AM$31,0),FALSE)</f>
        <v>11.9</v>
      </c>
      <c r="J32">
        <f>(VLOOKUP($B32,'Time-Distance'!$B$31:$M$42,MATCH(J$30,'Time-Distance'!$B$31:$M$31,0),FALSE)/60)*Model!$AD$17+(IF(Model!$AD$23=1,costs!$C$55,costs!$C$56)/60)*Model!$AD$17+VLOOKUP(costs!$B32,'Time-Distance'!$AB$31:$AM$42,MATCH(J$30,'Time-Distance'!$AB$31:$AM$31,0),FALSE)</f>
        <v>11.3</v>
      </c>
      <c r="K32">
        <f>(VLOOKUP($B32,'Time-Distance'!$B$31:$M$42,MATCH(K$30,'Time-Distance'!$B$31:$M$31,0),FALSE)/60)*Model!$AD$17+(IF(Model!$AD$23=1,costs!$C$55,costs!$C$56)/60)*Model!$AD$17+VLOOKUP(costs!$B32,'Time-Distance'!$AB$31:$AM$42,MATCH(K$30,'Time-Distance'!$AB$31:$AM$31,0),FALSE)</f>
        <v>19.100000000000001</v>
      </c>
      <c r="L32">
        <f>(VLOOKUP($B32,'Time-Distance'!$B$31:$M$42,MATCH(L$30,'Time-Distance'!$B$31:$M$31,0),FALSE)/60)*Model!$AD$17+(IF(Model!$AD$23=1,costs!$C$55,costs!$C$56)/60)*Model!$AD$17+VLOOKUP(costs!$B32,'Time-Distance'!$AB$31:$AM$42,MATCH(L$30,'Time-Distance'!$AB$31:$AM$31,0),FALSE)</f>
        <v>8.9</v>
      </c>
      <c r="M32">
        <f>(VLOOKUP($B32,'Time-Distance'!$B$31:$M$42,MATCH(M$30,'Time-Distance'!$B$31:$M$31,0),FALSE)/60)*Model!$AD$17+(IF(Model!$AD$23=1,costs!$C$55,costs!$C$56)/60)*Model!$AD$17+VLOOKUP(costs!$B32,'Time-Distance'!$AB$31:$AM$42,MATCH(M$30,'Time-Distance'!$AB$31:$AM$31,0),FALSE)</f>
        <v>12.8</v>
      </c>
    </row>
    <row r="33" spans="2:13">
      <c r="B33" t="s">
        <v>12</v>
      </c>
      <c r="C33">
        <f>(VLOOKUP($B33,'Time-Distance'!$B$31:$M$42,MATCH(C$30,'Time-Distance'!$B$31:$M$31,0),FALSE)/60)*Model!$AD$17+(IF(Model!$AD$23=1,costs!$C$55,costs!$C$56)/60)*Model!$AD$17+VLOOKUP(costs!$B33,'Time-Distance'!$AB$31:$AM$42,MATCH(C$30,'Time-Distance'!$AB$31:$AM$31,0),FALSE)</f>
        <v>13.6</v>
      </c>
      <c r="D33">
        <f>(VLOOKUP($B33,'Time-Distance'!$B$31:$M$42,MATCH(D$30,'Time-Distance'!$B$31:$M$31,0),FALSE)/60)*Model!$AD$17+(IF(Model!$AD$23=1,costs!$C$55,costs!$C$56)/60)*Model!$AD$17+VLOOKUP(costs!$B33,'Time-Distance'!$AB$31:$AM$42,MATCH(D$30,'Time-Distance'!$AB$31:$AM$31,0),FALSE)</f>
        <v>14.6</v>
      </c>
      <c r="E33">
        <f>(VLOOKUP($B33,'Time-Distance'!$B$31:$M$42,MATCH(E$30,'Time-Distance'!$B$31:$M$31,0),FALSE)/60)*Model!$AD$17+(IF(Model!$AD$23=1,costs!$C$55,costs!$C$56)/60)*Model!$AD$17+VLOOKUP(costs!$B33,'Time-Distance'!$AB$31:$AM$42,MATCH(E$30,'Time-Distance'!$AB$31:$AM$31,0),FALSE)</f>
        <v>3.5</v>
      </c>
      <c r="F33">
        <f>(VLOOKUP($B33,'Time-Distance'!$B$31:$M$42,MATCH(F$30,'Time-Distance'!$B$31:$M$31,0),FALSE)/60)*Model!$AD$17+(IF(Model!$AD$23=1,costs!$C$55,costs!$C$56)/60)*Model!$AD$17+VLOOKUP(costs!$B33,'Time-Distance'!$AB$31:$AM$42,MATCH(F$30,'Time-Distance'!$AB$31:$AM$31,0),FALSE)</f>
        <v>18.2</v>
      </c>
      <c r="G33">
        <f>(VLOOKUP($B33,'Time-Distance'!$B$31:$M$42,MATCH(G$30,'Time-Distance'!$B$31:$M$31,0),FALSE)/60)*Model!$AD$17+(IF(Model!$AD$23=1,costs!$C$55,costs!$C$56)/60)*Model!$AD$17+VLOOKUP(costs!$B33,'Time-Distance'!$AB$31:$AM$42,MATCH(G$30,'Time-Distance'!$AB$31:$AM$31,0),FALSE)</f>
        <v>14.2</v>
      </c>
      <c r="H33">
        <f>(VLOOKUP($B33,'Time-Distance'!$B$31:$M$42,MATCH(H$30,'Time-Distance'!$B$31:$M$31,0),FALSE)/60)*Model!$AD$17+(IF(Model!$AD$23=1,costs!$C$55,costs!$C$56)/60)*Model!$AD$17+VLOOKUP(costs!$B33,'Time-Distance'!$AB$31:$AM$42,MATCH(H$30,'Time-Distance'!$AB$31:$AM$31,0),FALSE)</f>
        <v>16.8</v>
      </c>
      <c r="I33">
        <f>(VLOOKUP($B33,'Time-Distance'!$B$31:$M$42,MATCH(I$30,'Time-Distance'!$B$31:$M$31,0),FALSE)/60)*Model!$AD$17+(IF(Model!$AD$23=1,costs!$C$55,costs!$C$56)/60)*Model!$AD$17+VLOOKUP(costs!$B33,'Time-Distance'!$AB$31:$AM$42,MATCH(I$30,'Time-Distance'!$AB$31:$AM$31,0),FALSE)</f>
        <v>10</v>
      </c>
      <c r="J33">
        <f>(VLOOKUP($B33,'Time-Distance'!$B$31:$M$42,MATCH(J$30,'Time-Distance'!$B$31:$M$31,0),FALSE)/60)*Model!$AD$17+(IF(Model!$AD$23=1,costs!$C$55,costs!$C$56)/60)*Model!$AD$17+VLOOKUP(costs!$B33,'Time-Distance'!$AB$31:$AM$42,MATCH(J$30,'Time-Distance'!$AB$31:$AM$31,0),FALSE)</f>
        <v>8.6999999999999993</v>
      </c>
      <c r="K33">
        <f>(VLOOKUP($B33,'Time-Distance'!$B$31:$M$42,MATCH(K$30,'Time-Distance'!$B$31:$M$31,0),FALSE)/60)*Model!$AD$17+(IF(Model!$AD$23=1,costs!$C$55,costs!$C$56)/60)*Model!$AD$17+VLOOKUP(costs!$B33,'Time-Distance'!$AB$31:$AM$42,MATCH(K$30,'Time-Distance'!$AB$31:$AM$31,0),FALSE)</f>
        <v>12.3</v>
      </c>
      <c r="L33">
        <f>(VLOOKUP($B33,'Time-Distance'!$B$31:$M$42,MATCH(L$30,'Time-Distance'!$B$31:$M$31,0),FALSE)/60)*Model!$AD$17+(IF(Model!$AD$23=1,costs!$C$55,costs!$C$56)/60)*Model!$AD$17+VLOOKUP(costs!$B33,'Time-Distance'!$AB$31:$AM$42,MATCH(L$30,'Time-Distance'!$AB$31:$AM$31,0),FALSE)</f>
        <v>17.3</v>
      </c>
      <c r="M33">
        <f>(VLOOKUP($B33,'Time-Distance'!$B$31:$M$42,MATCH(M$30,'Time-Distance'!$B$31:$M$31,0),FALSE)/60)*Model!$AD$17+(IF(Model!$AD$23=1,costs!$C$55,costs!$C$56)/60)*Model!$AD$17+VLOOKUP(costs!$B33,'Time-Distance'!$AB$31:$AM$42,MATCH(M$30,'Time-Distance'!$AB$31:$AM$31,0),FALSE)</f>
        <v>10.3</v>
      </c>
    </row>
    <row r="34" spans="2:13">
      <c r="B34" t="s">
        <v>58</v>
      </c>
      <c r="C34">
        <f>(VLOOKUP($B34,'Time-Distance'!$B$31:$M$42,MATCH(C$30,'Time-Distance'!$B$31:$M$31,0),FALSE)/60)*Model!$AD$17+(IF(Model!$AD$23=1,costs!$C$55,costs!$C$56)/60)*Model!$AD$17+VLOOKUP(costs!$B34,'Time-Distance'!$AB$31:$AM$42,MATCH(C$30,'Time-Distance'!$AB$31:$AM$31,0),FALSE)</f>
        <v>8.6</v>
      </c>
      <c r="D34">
        <f>(VLOOKUP($B34,'Time-Distance'!$B$31:$M$42,MATCH(D$30,'Time-Distance'!$B$31:$M$31,0),FALSE)/60)*Model!$AD$17+(IF(Model!$AD$23=1,costs!$C$55,costs!$C$56)/60)*Model!$AD$17+VLOOKUP(costs!$B34,'Time-Distance'!$AB$31:$AM$42,MATCH(D$30,'Time-Distance'!$AB$31:$AM$31,0),FALSE)</f>
        <v>11</v>
      </c>
      <c r="E34">
        <f>(VLOOKUP($B34,'Time-Distance'!$B$31:$M$42,MATCH(E$30,'Time-Distance'!$B$31:$M$31,0),FALSE)/60)*Model!$AD$17+(IF(Model!$AD$23=1,costs!$C$55,costs!$C$56)/60)*Model!$AD$17+VLOOKUP(costs!$B34,'Time-Distance'!$AB$31:$AM$42,MATCH(E$30,'Time-Distance'!$AB$31:$AM$31,0),FALSE)</f>
        <v>18.2</v>
      </c>
      <c r="F34">
        <f>(VLOOKUP($B34,'Time-Distance'!$B$31:$M$42,MATCH(F$30,'Time-Distance'!$B$31:$M$31,0),FALSE)/60)*Model!$AD$17+(IF(Model!$AD$23=1,costs!$C$55,costs!$C$56)/60)*Model!$AD$17+VLOOKUP(costs!$B34,'Time-Distance'!$AB$31:$AM$42,MATCH(F$30,'Time-Distance'!$AB$31:$AM$31,0),FALSE)</f>
        <v>3.5</v>
      </c>
      <c r="G34">
        <f>(VLOOKUP($B34,'Time-Distance'!$B$31:$M$42,MATCH(G$30,'Time-Distance'!$B$31:$M$31,0),FALSE)/60)*Model!$AD$17+(IF(Model!$AD$23=1,costs!$C$55,costs!$C$56)/60)*Model!$AD$17+VLOOKUP(costs!$B34,'Time-Distance'!$AB$31:$AM$42,MATCH(G$30,'Time-Distance'!$AB$31:$AM$31,0),FALSE)</f>
        <v>9.1999999999999993</v>
      </c>
      <c r="H34">
        <f>(VLOOKUP($B34,'Time-Distance'!$B$31:$M$42,MATCH(H$30,'Time-Distance'!$B$31:$M$31,0),FALSE)/60)*Model!$AD$17+(IF(Model!$AD$23=1,costs!$C$55,costs!$C$56)/60)*Model!$AD$17+VLOOKUP(costs!$B34,'Time-Distance'!$AB$31:$AM$42,MATCH(H$30,'Time-Distance'!$AB$31:$AM$31,0),FALSE)</f>
        <v>7.3</v>
      </c>
      <c r="I34">
        <f>(VLOOKUP($B34,'Time-Distance'!$B$31:$M$42,MATCH(I$30,'Time-Distance'!$B$31:$M$31,0),FALSE)/60)*Model!$AD$17+(IF(Model!$AD$23=1,costs!$C$55,costs!$C$56)/60)*Model!$AD$17+VLOOKUP(costs!$B34,'Time-Distance'!$AB$31:$AM$42,MATCH(I$30,'Time-Distance'!$AB$31:$AM$31,0),FALSE)</f>
        <v>10.3</v>
      </c>
      <c r="J34">
        <f>(VLOOKUP($B34,'Time-Distance'!$B$31:$M$42,MATCH(J$30,'Time-Distance'!$B$31:$M$31,0),FALSE)/60)*Model!$AD$17+(IF(Model!$AD$23=1,costs!$C$55,costs!$C$56)/60)*Model!$AD$17+VLOOKUP(costs!$B34,'Time-Distance'!$AB$31:$AM$42,MATCH(J$30,'Time-Distance'!$AB$31:$AM$31,0),FALSE)</f>
        <v>15.9</v>
      </c>
      <c r="K34">
        <f>(VLOOKUP($B34,'Time-Distance'!$B$31:$M$42,MATCH(K$30,'Time-Distance'!$B$31:$M$31,0),FALSE)/60)*Model!$AD$17+(IF(Model!$AD$23=1,costs!$C$55,costs!$C$56)/60)*Model!$AD$17+VLOOKUP(costs!$B34,'Time-Distance'!$AB$31:$AM$42,MATCH(K$30,'Time-Distance'!$AB$31:$AM$31,0),FALSE)</f>
        <v>15.5</v>
      </c>
      <c r="L34">
        <f>(VLOOKUP($B34,'Time-Distance'!$B$31:$M$42,MATCH(L$30,'Time-Distance'!$B$31:$M$31,0),FALSE)/60)*Model!$AD$17+(IF(Model!$AD$23=1,costs!$C$55,costs!$C$56)/60)*Model!$AD$17+VLOOKUP(costs!$B34,'Time-Distance'!$AB$31:$AM$42,MATCH(L$30,'Time-Distance'!$AB$31:$AM$31,0),FALSE)</f>
        <v>6</v>
      </c>
      <c r="M34">
        <f>(VLOOKUP($B34,'Time-Distance'!$B$31:$M$42,MATCH(M$30,'Time-Distance'!$B$31:$M$31,0),FALSE)/60)*Model!$AD$17+(IF(Model!$AD$23=1,costs!$C$55,costs!$C$56)/60)*Model!$AD$17+VLOOKUP(costs!$B34,'Time-Distance'!$AB$31:$AM$42,MATCH(M$30,'Time-Distance'!$AB$31:$AM$31,0),FALSE)</f>
        <v>13.2</v>
      </c>
    </row>
    <row r="35" spans="2:13">
      <c r="B35" t="s">
        <v>59</v>
      </c>
      <c r="C35">
        <f>(VLOOKUP($B35,'Time-Distance'!$B$31:$M$42,MATCH(C$30,'Time-Distance'!$B$31:$M$31,0),FALSE)/60)*Model!$AD$17+(IF(Model!$AD$23=1,costs!$C$55,costs!$C$56)/60)*Model!$AD$17+VLOOKUP(costs!$B35,'Time-Distance'!$AB$31:$AM$42,MATCH(C$30,'Time-Distance'!$AB$31:$AM$31,0),FALSE)</f>
        <v>6.8</v>
      </c>
      <c r="D35">
        <f>(VLOOKUP($B35,'Time-Distance'!$B$31:$M$42,MATCH(D$30,'Time-Distance'!$B$31:$M$31,0),FALSE)/60)*Model!$AD$17+(IF(Model!$AD$23=1,costs!$C$55,costs!$C$56)/60)*Model!$AD$17+VLOOKUP(costs!$B35,'Time-Distance'!$AB$31:$AM$42,MATCH(D$30,'Time-Distance'!$AB$31:$AM$31,0),FALSE)</f>
        <v>6.2</v>
      </c>
      <c r="E35">
        <f>(VLOOKUP($B35,'Time-Distance'!$B$31:$M$42,MATCH(E$30,'Time-Distance'!$B$31:$M$31,0),FALSE)/60)*Model!$AD$17+(IF(Model!$AD$23=1,costs!$C$55,costs!$C$56)/60)*Model!$AD$17+VLOOKUP(costs!$B35,'Time-Distance'!$AB$31:$AM$42,MATCH(E$30,'Time-Distance'!$AB$31:$AM$31,0),FALSE)</f>
        <v>14.2</v>
      </c>
      <c r="F35">
        <f>(VLOOKUP($B35,'Time-Distance'!$B$31:$M$42,MATCH(F$30,'Time-Distance'!$B$31:$M$31,0),FALSE)/60)*Model!$AD$17+(IF(Model!$AD$23=1,costs!$C$55,costs!$C$56)/60)*Model!$AD$17+VLOOKUP(costs!$B35,'Time-Distance'!$AB$31:$AM$42,MATCH(F$30,'Time-Distance'!$AB$31:$AM$31,0),FALSE)</f>
        <v>9.1999999999999993</v>
      </c>
      <c r="G35">
        <f>(VLOOKUP($B35,'Time-Distance'!$B$31:$M$42,MATCH(G$30,'Time-Distance'!$B$31:$M$31,0),FALSE)/60)*Model!$AD$17+(IF(Model!$AD$23=1,costs!$C$55,costs!$C$56)/60)*Model!$AD$17+VLOOKUP(costs!$B35,'Time-Distance'!$AB$31:$AM$42,MATCH(G$30,'Time-Distance'!$AB$31:$AM$31,0),FALSE)</f>
        <v>3.5</v>
      </c>
      <c r="H35">
        <f>(VLOOKUP($B35,'Time-Distance'!$B$31:$M$42,MATCH(H$30,'Time-Distance'!$B$31:$M$31,0),FALSE)/60)*Model!$AD$17+(IF(Model!$AD$23=1,costs!$C$55,costs!$C$56)/60)*Model!$AD$17+VLOOKUP(costs!$B35,'Time-Distance'!$AB$31:$AM$42,MATCH(H$30,'Time-Distance'!$AB$31:$AM$31,0),FALSE)</f>
        <v>6.9</v>
      </c>
      <c r="I35">
        <f>(VLOOKUP($B35,'Time-Distance'!$B$31:$M$42,MATCH(I$30,'Time-Distance'!$B$31:$M$31,0),FALSE)/60)*Model!$AD$17+(IF(Model!$AD$23=1,costs!$C$55,costs!$C$56)/60)*Model!$AD$17+VLOOKUP(costs!$B35,'Time-Distance'!$AB$31:$AM$42,MATCH(I$30,'Time-Distance'!$AB$31:$AM$31,0),FALSE)</f>
        <v>10.1</v>
      </c>
      <c r="J35">
        <f>(VLOOKUP($B35,'Time-Distance'!$B$31:$M$42,MATCH(J$30,'Time-Distance'!$B$31:$M$31,0),FALSE)/60)*Model!$AD$17+(IF(Model!$AD$23=1,costs!$C$55,costs!$C$56)/60)*Model!$AD$17+VLOOKUP(costs!$B35,'Time-Distance'!$AB$31:$AM$42,MATCH(J$30,'Time-Distance'!$AB$31:$AM$31,0),FALSE)</f>
        <v>12.4</v>
      </c>
      <c r="K35">
        <f>(VLOOKUP($B35,'Time-Distance'!$B$31:$M$42,MATCH(K$30,'Time-Distance'!$B$31:$M$31,0),FALSE)/60)*Model!$AD$17+(IF(Model!$AD$23=1,costs!$C$55,costs!$C$56)/60)*Model!$AD$17+VLOOKUP(costs!$B35,'Time-Distance'!$AB$31:$AM$42,MATCH(K$30,'Time-Distance'!$AB$31:$AM$31,0),FALSE)</f>
        <v>16.399999999999999</v>
      </c>
      <c r="L35">
        <f>(VLOOKUP($B35,'Time-Distance'!$B$31:$M$42,MATCH(L$30,'Time-Distance'!$B$31:$M$31,0),FALSE)/60)*Model!$AD$17+(IF(Model!$AD$23=1,costs!$C$55,costs!$C$56)/60)*Model!$AD$17+VLOOKUP(costs!$B35,'Time-Distance'!$AB$31:$AM$42,MATCH(L$30,'Time-Distance'!$AB$31:$AM$31,0),FALSE)</f>
        <v>7.2</v>
      </c>
      <c r="M35">
        <f>(VLOOKUP($B35,'Time-Distance'!$B$31:$M$42,MATCH(M$30,'Time-Distance'!$B$31:$M$31,0),FALSE)/60)*Model!$AD$17+(IF(Model!$AD$23=1,costs!$C$55,costs!$C$56)/60)*Model!$AD$17+VLOOKUP(costs!$B35,'Time-Distance'!$AB$31:$AM$42,MATCH(M$30,'Time-Distance'!$AB$31:$AM$31,0),FALSE)</f>
        <v>12</v>
      </c>
    </row>
    <row r="36" spans="2:13">
      <c r="B36" t="s">
        <v>60</v>
      </c>
      <c r="C36">
        <f>(VLOOKUP($B36,'Time-Distance'!$B$31:$M$42,MATCH(C$30,'Time-Distance'!$B$31:$M$31,0),FALSE)/60)*Model!$AD$17+(IF(Model!$AD$23=1,costs!$C$55,costs!$C$56)/60)*Model!$AD$17+VLOOKUP(costs!$B36,'Time-Distance'!$AB$31:$AM$42,MATCH(C$30,'Time-Distance'!$AB$31:$AM$31,0),FALSE)</f>
        <v>9.9</v>
      </c>
      <c r="D36">
        <f>(VLOOKUP($B36,'Time-Distance'!$B$31:$M$42,MATCH(D$30,'Time-Distance'!$B$31:$M$31,0),FALSE)/60)*Model!$AD$17+(IF(Model!$AD$23=1,costs!$C$55,costs!$C$56)/60)*Model!$AD$17+VLOOKUP(costs!$B36,'Time-Distance'!$AB$31:$AM$42,MATCH(D$30,'Time-Distance'!$AB$31:$AM$31,0),FALSE)</f>
        <v>7.7</v>
      </c>
      <c r="E36">
        <f>(VLOOKUP($B36,'Time-Distance'!$B$31:$M$42,MATCH(E$30,'Time-Distance'!$B$31:$M$31,0),FALSE)/60)*Model!$AD$17+(IF(Model!$AD$23=1,costs!$C$55,costs!$C$56)/60)*Model!$AD$17+VLOOKUP(costs!$B36,'Time-Distance'!$AB$31:$AM$42,MATCH(E$30,'Time-Distance'!$AB$31:$AM$31,0),FALSE)</f>
        <v>16.8</v>
      </c>
      <c r="F36">
        <f>(VLOOKUP($B36,'Time-Distance'!$B$31:$M$42,MATCH(F$30,'Time-Distance'!$B$31:$M$31,0),FALSE)/60)*Model!$AD$17+(IF(Model!$AD$23=1,costs!$C$55,costs!$C$56)/60)*Model!$AD$17+VLOOKUP(costs!$B36,'Time-Distance'!$AB$31:$AM$42,MATCH(F$30,'Time-Distance'!$AB$31:$AM$31,0),FALSE)</f>
        <v>7.3</v>
      </c>
      <c r="G36">
        <f>(VLOOKUP($B36,'Time-Distance'!$B$31:$M$42,MATCH(G$30,'Time-Distance'!$B$31:$M$31,0),FALSE)/60)*Model!$AD$17+(IF(Model!$AD$23=1,costs!$C$55,costs!$C$56)/60)*Model!$AD$17+VLOOKUP(costs!$B36,'Time-Distance'!$AB$31:$AM$42,MATCH(G$30,'Time-Distance'!$AB$31:$AM$31,0),FALSE)</f>
        <v>6.9</v>
      </c>
      <c r="H36">
        <f>(VLOOKUP($B36,'Time-Distance'!$B$31:$M$42,MATCH(H$30,'Time-Distance'!$B$31:$M$31,0),FALSE)/60)*Model!$AD$17+(IF(Model!$AD$23=1,costs!$C$55,costs!$C$56)/60)*Model!$AD$17+VLOOKUP(costs!$B36,'Time-Distance'!$AB$31:$AM$42,MATCH(H$30,'Time-Distance'!$AB$31:$AM$31,0),FALSE)</f>
        <v>3.5</v>
      </c>
      <c r="I36">
        <f>(VLOOKUP($B36,'Time-Distance'!$B$31:$M$42,MATCH(I$30,'Time-Distance'!$B$31:$M$31,0),FALSE)/60)*Model!$AD$17+(IF(Model!$AD$23=1,costs!$C$55,costs!$C$56)/60)*Model!$AD$17+VLOOKUP(costs!$B36,'Time-Distance'!$AB$31:$AM$42,MATCH(I$30,'Time-Distance'!$AB$31:$AM$31,0),FALSE)</f>
        <v>13.2</v>
      </c>
      <c r="J36">
        <f>(VLOOKUP($B36,'Time-Distance'!$B$31:$M$42,MATCH(J$30,'Time-Distance'!$B$31:$M$31,0),FALSE)/60)*Model!$AD$17+(IF(Model!$AD$23=1,costs!$C$55,costs!$C$56)/60)*Model!$AD$17+VLOOKUP(costs!$B36,'Time-Distance'!$AB$31:$AM$42,MATCH(J$30,'Time-Distance'!$AB$31:$AM$31,0),FALSE)</f>
        <v>15</v>
      </c>
      <c r="K36">
        <f>(VLOOKUP($B36,'Time-Distance'!$B$31:$M$42,MATCH(K$30,'Time-Distance'!$B$31:$M$31,0),FALSE)/60)*Model!$AD$17+(IF(Model!$AD$23=1,costs!$C$55,costs!$C$56)/60)*Model!$AD$17+VLOOKUP(costs!$B36,'Time-Distance'!$AB$31:$AM$42,MATCH(K$30,'Time-Distance'!$AB$31:$AM$31,0),FALSE)</f>
        <v>18.8</v>
      </c>
      <c r="L36">
        <f>(VLOOKUP($B36,'Time-Distance'!$B$31:$M$42,MATCH(L$30,'Time-Distance'!$B$31:$M$31,0),FALSE)/60)*Model!$AD$17+(IF(Model!$AD$23=1,costs!$C$55,costs!$C$56)/60)*Model!$AD$17+VLOOKUP(costs!$B36,'Time-Distance'!$AB$31:$AM$42,MATCH(L$30,'Time-Distance'!$AB$31:$AM$31,0),FALSE)</f>
        <v>7.7</v>
      </c>
      <c r="M36">
        <f>(VLOOKUP($B36,'Time-Distance'!$B$31:$M$42,MATCH(M$30,'Time-Distance'!$B$31:$M$31,0),FALSE)/60)*Model!$AD$17+(IF(Model!$AD$23=1,costs!$C$55,costs!$C$56)/60)*Model!$AD$17+VLOOKUP(costs!$B36,'Time-Distance'!$AB$31:$AM$42,MATCH(M$30,'Time-Distance'!$AB$31:$AM$31,0),FALSE)</f>
        <v>13.9</v>
      </c>
    </row>
    <row r="37" spans="2:13">
      <c r="B37" t="s">
        <v>13</v>
      </c>
      <c r="C37">
        <f>(VLOOKUP($B37,'Time-Distance'!$B$31:$M$42,MATCH(C$30,'Time-Distance'!$B$31:$M$31,0),FALSE)/60)*Model!$AD$17+(IF(Model!$AD$23=1,costs!$C$55,costs!$C$56)/60)*Model!$AD$17+VLOOKUP(costs!$B37,'Time-Distance'!$AB$31:$AM$42,MATCH(C$30,'Time-Distance'!$AB$31:$AM$31,0),FALSE)</f>
        <v>6.8</v>
      </c>
      <c r="D37">
        <f>(VLOOKUP($B37,'Time-Distance'!$B$31:$M$42,MATCH(D$30,'Time-Distance'!$B$31:$M$31,0),FALSE)/60)*Model!$AD$17+(IF(Model!$AD$23=1,costs!$C$55,costs!$C$56)/60)*Model!$AD$17+VLOOKUP(costs!$B37,'Time-Distance'!$AB$31:$AM$42,MATCH(D$30,'Time-Distance'!$AB$31:$AM$31,0),FALSE)</f>
        <v>11.9</v>
      </c>
      <c r="E37">
        <f>(VLOOKUP($B37,'Time-Distance'!$B$31:$M$42,MATCH(E$30,'Time-Distance'!$B$31:$M$31,0),FALSE)/60)*Model!$AD$17+(IF(Model!$AD$23=1,costs!$C$55,costs!$C$56)/60)*Model!$AD$17+VLOOKUP(costs!$B37,'Time-Distance'!$AB$31:$AM$42,MATCH(E$30,'Time-Distance'!$AB$31:$AM$31,0),FALSE)</f>
        <v>10</v>
      </c>
      <c r="F37">
        <f>(VLOOKUP($B37,'Time-Distance'!$B$31:$M$42,MATCH(F$30,'Time-Distance'!$B$31:$M$31,0),FALSE)/60)*Model!$AD$17+(IF(Model!$AD$23=1,costs!$C$55,costs!$C$56)/60)*Model!$AD$17+VLOOKUP(costs!$B37,'Time-Distance'!$AB$31:$AM$42,MATCH(F$30,'Time-Distance'!$AB$31:$AM$31,0),FALSE)</f>
        <v>10.3</v>
      </c>
      <c r="G37">
        <f>(VLOOKUP($B37,'Time-Distance'!$B$31:$M$42,MATCH(G$30,'Time-Distance'!$B$31:$M$31,0),FALSE)/60)*Model!$AD$17+(IF(Model!$AD$23=1,costs!$C$55,costs!$C$56)/60)*Model!$AD$17+VLOOKUP(costs!$B37,'Time-Distance'!$AB$31:$AM$42,MATCH(G$30,'Time-Distance'!$AB$31:$AM$31,0),FALSE)</f>
        <v>10.1</v>
      </c>
      <c r="H37">
        <f>(VLOOKUP($B37,'Time-Distance'!$B$31:$M$42,MATCH(H$30,'Time-Distance'!$B$31:$M$31,0),FALSE)/60)*Model!$AD$17+(IF(Model!$AD$23=1,costs!$C$55,costs!$C$56)/60)*Model!$AD$17+VLOOKUP(costs!$B37,'Time-Distance'!$AB$31:$AM$42,MATCH(H$30,'Time-Distance'!$AB$31:$AM$31,0),FALSE)</f>
        <v>13.2</v>
      </c>
      <c r="I37">
        <f>(VLOOKUP($B37,'Time-Distance'!$B$31:$M$42,MATCH(I$30,'Time-Distance'!$B$31:$M$31,0),FALSE)/60)*Model!$AD$17+(IF(Model!$AD$23=1,costs!$C$55,costs!$C$56)/60)*Model!$AD$17+VLOOKUP(costs!$B37,'Time-Distance'!$AB$31:$AM$42,MATCH(I$30,'Time-Distance'!$AB$31:$AM$31,0),FALSE)</f>
        <v>3.5</v>
      </c>
      <c r="J37">
        <f>(VLOOKUP($B37,'Time-Distance'!$B$31:$M$42,MATCH(J$30,'Time-Distance'!$B$31:$M$31,0),FALSE)/60)*Model!$AD$17+(IF(Model!$AD$23=1,costs!$C$55,costs!$C$56)/60)*Model!$AD$17+VLOOKUP(costs!$B37,'Time-Distance'!$AB$31:$AM$42,MATCH(J$30,'Time-Distance'!$AB$31:$AM$31,0),FALSE)</f>
        <v>9.8000000000000007</v>
      </c>
      <c r="K37">
        <f>(VLOOKUP($B37,'Time-Distance'!$B$31:$M$42,MATCH(K$30,'Time-Distance'!$B$31:$M$31,0),FALSE)/60)*Model!$AD$17+(IF(Model!$AD$23=1,costs!$C$55,costs!$C$56)/60)*Model!$AD$17+VLOOKUP(costs!$B37,'Time-Distance'!$AB$31:$AM$42,MATCH(K$30,'Time-Distance'!$AB$31:$AM$31,0),FALSE)</f>
        <v>12.1</v>
      </c>
      <c r="L37">
        <f>(VLOOKUP($B37,'Time-Distance'!$B$31:$M$42,MATCH(L$30,'Time-Distance'!$B$31:$M$31,0),FALSE)/60)*Model!$AD$17+(IF(Model!$AD$23=1,costs!$C$55,costs!$C$56)/60)*Model!$AD$17+VLOOKUP(costs!$B37,'Time-Distance'!$AB$31:$AM$42,MATCH(L$30,'Time-Distance'!$AB$31:$AM$31,0),FALSE)</f>
        <v>11.9</v>
      </c>
      <c r="M37">
        <f>(VLOOKUP($B37,'Time-Distance'!$B$31:$M$42,MATCH(M$30,'Time-Distance'!$B$31:$M$31,0),FALSE)/60)*Model!$AD$17+(IF(Model!$AD$23=1,costs!$C$55,costs!$C$56)/60)*Model!$AD$17+VLOOKUP(costs!$B37,'Time-Distance'!$AB$31:$AM$42,MATCH(M$30,'Time-Distance'!$AB$31:$AM$31,0),FALSE)</f>
        <v>7.6</v>
      </c>
    </row>
    <row r="38" spans="2:13">
      <c r="B38" t="s">
        <v>15</v>
      </c>
      <c r="C38">
        <f>(VLOOKUP($B38,'Time-Distance'!$B$31:$M$42,MATCH(C$30,'Time-Distance'!$B$31:$M$31,0),FALSE)/60)*Model!$AD$17+(IF(Model!$AD$23=1,costs!$C$55,costs!$C$56)/60)*Model!$AD$17+VLOOKUP(costs!$B38,'Time-Distance'!$AB$31:$AM$42,MATCH(C$30,'Time-Distance'!$AB$31:$AM$31,0),FALSE)</f>
        <v>11.3</v>
      </c>
      <c r="D38">
        <f>(VLOOKUP($B38,'Time-Distance'!$B$31:$M$42,MATCH(D$30,'Time-Distance'!$B$31:$M$31,0),FALSE)/60)*Model!$AD$17+(IF(Model!$AD$23=1,costs!$C$55,costs!$C$56)/60)*Model!$AD$17+VLOOKUP(costs!$B38,'Time-Distance'!$AB$31:$AM$42,MATCH(D$30,'Time-Distance'!$AB$31:$AM$31,0),FALSE)</f>
        <v>11.3</v>
      </c>
      <c r="E38">
        <f>(VLOOKUP($B38,'Time-Distance'!$B$31:$M$42,MATCH(E$30,'Time-Distance'!$B$31:$M$31,0),FALSE)/60)*Model!$AD$17+(IF(Model!$AD$23=1,costs!$C$55,costs!$C$56)/60)*Model!$AD$17+VLOOKUP(costs!$B38,'Time-Distance'!$AB$31:$AM$42,MATCH(E$30,'Time-Distance'!$AB$31:$AM$31,0),FALSE)</f>
        <v>8.6999999999999993</v>
      </c>
      <c r="F38">
        <f>(VLOOKUP($B38,'Time-Distance'!$B$31:$M$42,MATCH(F$30,'Time-Distance'!$B$31:$M$31,0),FALSE)/60)*Model!$AD$17+(IF(Model!$AD$23=1,costs!$C$55,costs!$C$56)/60)*Model!$AD$17+VLOOKUP(costs!$B38,'Time-Distance'!$AB$31:$AM$42,MATCH(F$30,'Time-Distance'!$AB$31:$AM$31,0),FALSE)</f>
        <v>15.9</v>
      </c>
      <c r="G38">
        <f>(VLOOKUP($B38,'Time-Distance'!$B$31:$M$42,MATCH(G$30,'Time-Distance'!$B$31:$M$31,0),FALSE)/60)*Model!$AD$17+(IF(Model!$AD$23=1,costs!$C$55,costs!$C$56)/60)*Model!$AD$17+VLOOKUP(costs!$B38,'Time-Distance'!$AB$31:$AM$42,MATCH(G$30,'Time-Distance'!$AB$31:$AM$31,0),FALSE)</f>
        <v>12.4</v>
      </c>
      <c r="H38">
        <f>(VLOOKUP($B38,'Time-Distance'!$B$31:$M$42,MATCH(H$30,'Time-Distance'!$B$31:$M$31,0),FALSE)/60)*Model!$AD$17+(IF(Model!$AD$23=1,costs!$C$55,costs!$C$56)/60)*Model!$AD$17+VLOOKUP(costs!$B38,'Time-Distance'!$AB$31:$AM$42,MATCH(H$30,'Time-Distance'!$AB$31:$AM$31,0),FALSE)</f>
        <v>15</v>
      </c>
      <c r="I38">
        <f>(VLOOKUP($B38,'Time-Distance'!$B$31:$M$42,MATCH(I$30,'Time-Distance'!$B$31:$M$31,0),FALSE)/60)*Model!$AD$17+(IF(Model!$AD$23=1,costs!$C$55,costs!$C$56)/60)*Model!$AD$17+VLOOKUP(costs!$B38,'Time-Distance'!$AB$31:$AM$42,MATCH(I$30,'Time-Distance'!$AB$31:$AM$31,0),FALSE)</f>
        <v>9.8000000000000007</v>
      </c>
      <c r="J38">
        <f>(VLOOKUP($B38,'Time-Distance'!$B$31:$M$42,MATCH(J$30,'Time-Distance'!$B$31:$M$31,0),FALSE)/60)*Model!$AD$17+(IF(Model!$AD$23=1,costs!$C$55,costs!$C$56)/60)*Model!$AD$17+VLOOKUP(costs!$B38,'Time-Distance'!$AB$31:$AM$42,MATCH(J$30,'Time-Distance'!$AB$31:$AM$31,0),FALSE)</f>
        <v>3.5</v>
      </c>
      <c r="K38">
        <f>(VLOOKUP($B38,'Time-Distance'!$B$31:$M$42,MATCH(K$30,'Time-Distance'!$B$31:$M$31,0),FALSE)/60)*Model!$AD$17+(IF(Model!$AD$23=1,costs!$C$55,costs!$C$56)/60)*Model!$AD$17+VLOOKUP(costs!$B38,'Time-Distance'!$AB$31:$AM$42,MATCH(K$30,'Time-Distance'!$AB$31:$AM$31,0),FALSE)</f>
        <v>13.6</v>
      </c>
      <c r="L38">
        <f>(VLOOKUP($B38,'Time-Distance'!$B$31:$M$42,MATCH(L$30,'Time-Distance'!$B$31:$M$31,0),FALSE)/60)*Model!$AD$17+(IF(Model!$AD$23=1,costs!$C$55,costs!$C$56)/60)*Model!$AD$17+VLOOKUP(costs!$B38,'Time-Distance'!$AB$31:$AM$42,MATCH(L$30,'Time-Distance'!$AB$31:$AM$31,0),FALSE)</f>
        <v>15</v>
      </c>
      <c r="M38">
        <f>(VLOOKUP($B38,'Time-Distance'!$B$31:$M$42,MATCH(M$30,'Time-Distance'!$B$31:$M$31,0),FALSE)/60)*Model!$AD$17+(IF(Model!$AD$23=1,costs!$C$55,costs!$C$56)/60)*Model!$AD$17+VLOOKUP(costs!$B38,'Time-Distance'!$AB$31:$AM$42,MATCH(M$30,'Time-Distance'!$AB$31:$AM$31,0),FALSE)</f>
        <v>8</v>
      </c>
    </row>
    <row r="39" spans="2:13">
      <c r="B39" t="s">
        <v>14</v>
      </c>
      <c r="C39">
        <f>(VLOOKUP($B39,'Time-Distance'!$B$31:$M$42,MATCH(C$30,'Time-Distance'!$B$31:$M$31,0),FALSE)/60)*Model!$AD$17+(IF(Model!$AD$23=1,costs!$C$55,costs!$C$56)/60)*Model!$AD$17+VLOOKUP(costs!$B39,'Time-Distance'!$AB$31:$AM$42,MATCH(C$30,'Time-Distance'!$AB$31:$AM$31,0),FALSE)</f>
        <v>14.5</v>
      </c>
      <c r="D39">
        <f>(VLOOKUP($B39,'Time-Distance'!$B$31:$M$42,MATCH(D$30,'Time-Distance'!$B$31:$M$31,0),FALSE)/60)*Model!$AD$17+(IF(Model!$AD$23=1,costs!$C$55,costs!$C$56)/60)*Model!$AD$17+VLOOKUP(costs!$B39,'Time-Distance'!$AB$31:$AM$42,MATCH(D$30,'Time-Distance'!$AB$31:$AM$31,0),FALSE)</f>
        <v>19.100000000000001</v>
      </c>
      <c r="E39">
        <f>(VLOOKUP($B39,'Time-Distance'!$B$31:$M$42,MATCH(E$30,'Time-Distance'!$B$31:$M$31,0),FALSE)/60)*Model!$AD$17+(IF(Model!$AD$23=1,costs!$C$55,costs!$C$56)/60)*Model!$AD$17+VLOOKUP(costs!$B39,'Time-Distance'!$AB$31:$AM$42,MATCH(E$30,'Time-Distance'!$AB$31:$AM$31,0),FALSE)</f>
        <v>12.3</v>
      </c>
      <c r="F39">
        <f>(VLOOKUP($B39,'Time-Distance'!$B$31:$M$42,MATCH(F$30,'Time-Distance'!$B$31:$M$31,0),FALSE)/60)*Model!$AD$17+(IF(Model!$AD$23=1,costs!$C$55,costs!$C$56)/60)*Model!$AD$17+VLOOKUP(costs!$B39,'Time-Distance'!$AB$31:$AM$42,MATCH(F$30,'Time-Distance'!$AB$31:$AM$31,0),FALSE)</f>
        <v>15.5</v>
      </c>
      <c r="G39">
        <f>(VLOOKUP($B39,'Time-Distance'!$B$31:$M$42,MATCH(G$30,'Time-Distance'!$B$31:$M$31,0),FALSE)/60)*Model!$AD$17+(IF(Model!$AD$23=1,costs!$C$55,costs!$C$56)/60)*Model!$AD$17+VLOOKUP(costs!$B39,'Time-Distance'!$AB$31:$AM$42,MATCH(G$30,'Time-Distance'!$AB$31:$AM$31,0),FALSE)</f>
        <v>16.399999999999999</v>
      </c>
      <c r="H39">
        <f>(VLOOKUP($B39,'Time-Distance'!$B$31:$M$42,MATCH(H$30,'Time-Distance'!$B$31:$M$31,0),FALSE)/60)*Model!$AD$17+(IF(Model!$AD$23=1,costs!$C$55,costs!$C$56)/60)*Model!$AD$17+VLOOKUP(costs!$B39,'Time-Distance'!$AB$31:$AM$42,MATCH(H$30,'Time-Distance'!$AB$31:$AM$31,0),FALSE)</f>
        <v>18.8</v>
      </c>
      <c r="I39">
        <f>(VLOOKUP($B39,'Time-Distance'!$B$31:$M$42,MATCH(I$30,'Time-Distance'!$B$31:$M$31,0),FALSE)/60)*Model!$AD$17+(IF(Model!$AD$23=1,costs!$C$55,costs!$C$56)/60)*Model!$AD$17+VLOOKUP(costs!$B39,'Time-Distance'!$AB$31:$AM$42,MATCH(I$30,'Time-Distance'!$AB$31:$AM$31,0),FALSE)</f>
        <v>12.1</v>
      </c>
      <c r="J39">
        <f>(VLOOKUP($B39,'Time-Distance'!$B$31:$M$42,MATCH(J$30,'Time-Distance'!$B$31:$M$31,0),FALSE)/60)*Model!$AD$17+(IF(Model!$AD$23=1,costs!$C$55,costs!$C$56)/60)*Model!$AD$17+VLOOKUP(costs!$B39,'Time-Distance'!$AB$31:$AM$42,MATCH(J$30,'Time-Distance'!$AB$31:$AM$31,0),FALSE)</f>
        <v>13.6</v>
      </c>
      <c r="K39">
        <f>(VLOOKUP($B39,'Time-Distance'!$B$31:$M$42,MATCH(K$30,'Time-Distance'!$B$31:$M$31,0),FALSE)/60)*Model!$AD$17+(IF(Model!$AD$23=1,costs!$C$55,costs!$C$56)/60)*Model!$AD$17+VLOOKUP(costs!$B39,'Time-Distance'!$AB$31:$AM$42,MATCH(K$30,'Time-Distance'!$AB$31:$AM$31,0),FALSE)</f>
        <v>3.5</v>
      </c>
      <c r="L39">
        <f>(VLOOKUP($B39,'Time-Distance'!$B$31:$M$42,MATCH(L$30,'Time-Distance'!$B$31:$M$31,0),FALSE)/60)*Model!$AD$17+(IF(Model!$AD$23=1,costs!$C$55,costs!$C$56)/60)*Model!$AD$17+VLOOKUP(costs!$B39,'Time-Distance'!$AB$31:$AM$42,MATCH(L$30,'Time-Distance'!$AB$31:$AM$31,0),FALSE)</f>
        <v>18</v>
      </c>
      <c r="M39">
        <f>(VLOOKUP($B39,'Time-Distance'!$B$31:$M$42,MATCH(M$30,'Time-Distance'!$B$31:$M$31,0),FALSE)/60)*Model!$AD$17+(IF(Model!$AD$23=1,costs!$C$55,costs!$C$56)/60)*Model!$AD$17+VLOOKUP(costs!$B39,'Time-Distance'!$AB$31:$AM$42,MATCH(M$30,'Time-Distance'!$AB$31:$AM$31,0),FALSE)</f>
        <v>10.5</v>
      </c>
    </row>
    <row r="40" spans="2:13">
      <c r="B40" t="s">
        <v>61</v>
      </c>
      <c r="C40">
        <f>(VLOOKUP($B40,'Time-Distance'!$B$31:$M$42,MATCH(C$30,'Time-Distance'!$B$31:$M$31,0),FALSE)/60)*Model!$AD$17+(IF(Model!$AD$23=1,costs!$C$55,costs!$C$56)/60)*Model!$AD$17+VLOOKUP(costs!$B40,'Time-Distance'!$AB$31:$AM$42,MATCH(C$30,'Time-Distance'!$AB$31:$AM$31,0),FALSE)</f>
        <v>9.9</v>
      </c>
      <c r="D40">
        <f>(VLOOKUP($B40,'Time-Distance'!$B$31:$M$42,MATCH(D$30,'Time-Distance'!$B$31:$M$31,0),FALSE)/60)*Model!$AD$17+(IF(Model!$AD$23=1,costs!$C$55,costs!$C$56)/60)*Model!$AD$17+VLOOKUP(costs!$B40,'Time-Distance'!$AB$31:$AM$42,MATCH(D$30,'Time-Distance'!$AB$31:$AM$31,0),FALSE)</f>
        <v>8.9</v>
      </c>
      <c r="E40">
        <f>(VLOOKUP($B40,'Time-Distance'!$B$31:$M$42,MATCH(E$30,'Time-Distance'!$B$31:$M$31,0),FALSE)/60)*Model!$AD$17+(IF(Model!$AD$23=1,costs!$C$55,costs!$C$56)/60)*Model!$AD$17+VLOOKUP(costs!$B40,'Time-Distance'!$AB$31:$AM$42,MATCH(E$30,'Time-Distance'!$AB$31:$AM$31,0),FALSE)</f>
        <v>17.3</v>
      </c>
      <c r="F40">
        <f>(VLOOKUP($B40,'Time-Distance'!$B$31:$M$42,MATCH(F$30,'Time-Distance'!$B$31:$M$31,0),FALSE)/60)*Model!$AD$17+(IF(Model!$AD$23=1,costs!$C$55,costs!$C$56)/60)*Model!$AD$17+VLOOKUP(costs!$B40,'Time-Distance'!$AB$31:$AM$42,MATCH(F$30,'Time-Distance'!$AB$31:$AM$31,0),FALSE)</f>
        <v>6</v>
      </c>
      <c r="G40">
        <f>(VLOOKUP($B40,'Time-Distance'!$B$31:$M$42,MATCH(G$30,'Time-Distance'!$B$31:$M$31,0),FALSE)/60)*Model!$AD$17+(IF(Model!$AD$23=1,costs!$C$55,costs!$C$56)/60)*Model!$AD$17+VLOOKUP(costs!$B40,'Time-Distance'!$AB$31:$AM$42,MATCH(G$30,'Time-Distance'!$AB$31:$AM$31,0),FALSE)</f>
        <v>7.2</v>
      </c>
      <c r="H40">
        <f>(VLOOKUP($B40,'Time-Distance'!$B$31:$M$42,MATCH(H$30,'Time-Distance'!$B$31:$M$31,0),FALSE)/60)*Model!$AD$17+(IF(Model!$AD$23=1,costs!$C$55,costs!$C$56)/60)*Model!$AD$17+VLOOKUP(costs!$B40,'Time-Distance'!$AB$31:$AM$42,MATCH(H$30,'Time-Distance'!$AB$31:$AM$31,0),FALSE)</f>
        <v>7.7</v>
      </c>
      <c r="I40">
        <f>(VLOOKUP($B40,'Time-Distance'!$B$31:$M$42,MATCH(I$30,'Time-Distance'!$B$31:$M$31,0),FALSE)/60)*Model!$AD$17+(IF(Model!$AD$23=1,costs!$C$55,costs!$C$56)/60)*Model!$AD$17+VLOOKUP(costs!$B40,'Time-Distance'!$AB$31:$AM$42,MATCH(I$30,'Time-Distance'!$AB$31:$AM$31,0),FALSE)</f>
        <v>11.9</v>
      </c>
      <c r="J40">
        <f>(VLOOKUP($B40,'Time-Distance'!$B$31:$M$42,MATCH(J$30,'Time-Distance'!$B$31:$M$31,0),FALSE)/60)*Model!$AD$17+(IF(Model!$AD$23=1,costs!$C$55,costs!$C$56)/60)*Model!$AD$17+VLOOKUP(costs!$B40,'Time-Distance'!$AB$31:$AM$42,MATCH(J$30,'Time-Distance'!$AB$31:$AM$31,0),FALSE)</f>
        <v>15</v>
      </c>
      <c r="K40">
        <f>(VLOOKUP($B40,'Time-Distance'!$B$31:$M$42,MATCH(K$30,'Time-Distance'!$B$31:$M$31,0),FALSE)/60)*Model!$AD$17+(IF(Model!$AD$23=1,costs!$C$55,costs!$C$56)/60)*Model!$AD$17+VLOOKUP(costs!$B40,'Time-Distance'!$AB$31:$AM$42,MATCH(K$30,'Time-Distance'!$AB$31:$AM$31,0),FALSE)</f>
        <v>18</v>
      </c>
      <c r="L40">
        <f>(VLOOKUP($B40,'Time-Distance'!$B$31:$M$42,MATCH(L$30,'Time-Distance'!$B$31:$M$31,0),FALSE)/60)*Model!$AD$17+(IF(Model!$AD$23=1,costs!$C$55,costs!$C$56)/60)*Model!$AD$17+VLOOKUP(costs!$B40,'Time-Distance'!$AB$31:$AM$42,MATCH(L$30,'Time-Distance'!$AB$31:$AM$31,0),FALSE)</f>
        <v>3.5</v>
      </c>
      <c r="M40">
        <f>(VLOOKUP($B40,'Time-Distance'!$B$31:$M$42,MATCH(M$30,'Time-Distance'!$B$31:$M$31,0),FALSE)/60)*Model!$AD$17+(IF(Model!$AD$23=1,costs!$C$55,costs!$C$56)/60)*Model!$AD$17+VLOOKUP(costs!$B40,'Time-Distance'!$AB$31:$AM$42,MATCH(M$30,'Time-Distance'!$AB$31:$AM$31,0),FALSE)</f>
        <v>12.3</v>
      </c>
    </row>
    <row r="41" spans="2:13">
      <c r="B41" t="s">
        <v>62</v>
      </c>
      <c r="C41">
        <f>(VLOOKUP($B41,'Time-Distance'!$B$31:$M$42,MATCH(C$30,'Time-Distance'!$B$31:$M$31,0),FALSE)/60)*Model!$AD$17+(IF(Model!$AD$23=1,costs!$C$55,costs!$C$56)/60)*Model!$AD$17+VLOOKUP(costs!$B41,'Time-Distance'!$AB$31:$AM$42,MATCH(C$30,'Time-Distance'!$AB$31:$AM$31,0),FALSE)</f>
        <v>9.5</v>
      </c>
      <c r="D41">
        <f>(VLOOKUP($B41,'Time-Distance'!$B$31:$M$42,MATCH(D$30,'Time-Distance'!$B$31:$M$31,0),FALSE)/60)*Model!$AD$17+(IF(Model!$AD$23=1,costs!$C$55,costs!$C$56)/60)*Model!$AD$17+VLOOKUP(costs!$B41,'Time-Distance'!$AB$31:$AM$42,MATCH(D$30,'Time-Distance'!$AB$31:$AM$31,0),FALSE)</f>
        <v>12.8</v>
      </c>
      <c r="E41">
        <f>(VLOOKUP($B41,'Time-Distance'!$B$31:$M$42,MATCH(E$30,'Time-Distance'!$B$31:$M$31,0),FALSE)/60)*Model!$AD$17+(IF(Model!$AD$23=1,costs!$C$55,costs!$C$56)/60)*Model!$AD$17+VLOOKUP(costs!$B41,'Time-Distance'!$AB$31:$AM$42,MATCH(E$30,'Time-Distance'!$AB$31:$AM$31,0),FALSE)</f>
        <v>10.3</v>
      </c>
      <c r="F41">
        <f>(VLOOKUP($B41,'Time-Distance'!$B$31:$M$42,MATCH(F$30,'Time-Distance'!$B$31:$M$31,0),FALSE)/60)*Model!$AD$17+(IF(Model!$AD$23=1,costs!$C$55,costs!$C$56)/60)*Model!$AD$17+VLOOKUP(costs!$B41,'Time-Distance'!$AB$31:$AM$42,MATCH(F$30,'Time-Distance'!$AB$31:$AM$31,0),FALSE)</f>
        <v>13.2</v>
      </c>
      <c r="G41">
        <f>(VLOOKUP($B41,'Time-Distance'!$B$31:$M$42,MATCH(G$30,'Time-Distance'!$B$31:$M$31,0),FALSE)/60)*Model!$AD$17+(IF(Model!$AD$23=1,costs!$C$55,costs!$C$56)/60)*Model!$AD$17+VLOOKUP(costs!$B41,'Time-Distance'!$AB$31:$AM$42,MATCH(G$30,'Time-Distance'!$AB$31:$AM$31,0),FALSE)</f>
        <v>12</v>
      </c>
      <c r="H41">
        <f>(VLOOKUP($B41,'Time-Distance'!$B$31:$M$42,MATCH(H$30,'Time-Distance'!$B$31:$M$31,0),FALSE)/60)*Model!$AD$17+(IF(Model!$AD$23=1,costs!$C$55,costs!$C$56)/60)*Model!$AD$17+VLOOKUP(costs!$B41,'Time-Distance'!$AB$31:$AM$42,MATCH(H$30,'Time-Distance'!$AB$31:$AM$31,0),FALSE)</f>
        <v>13.9</v>
      </c>
      <c r="I41">
        <f>(VLOOKUP($B41,'Time-Distance'!$B$31:$M$42,MATCH(I$30,'Time-Distance'!$B$31:$M$31,0),FALSE)/60)*Model!$AD$17+(IF(Model!$AD$23=1,costs!$C$55,costs!$C$56)/60)*Model!$AD$17+VLOOKUP(costs!$B41,'Time-Distance'!$AB$31:$AM$42,MATCH(I$30,'Time-Distance'!$AB$31:$AM$31,0),FALSE)</f>
        <v>7.6</v>
      </c>
      <c r="J41">
        <f>(VLOOKUP($B41,'Time-Distance'!$B$31:$M$42,MATCH(J$30,'Time-Distance'!$B$31:$M$31,0),FALSE)/60)*Model!$AD$17+(IF(Model!$AD$23=1,costs!$C$55,costs!$C$56)/60)*Model!$AD$17+VLOOKUP(costs!$B41,'Time-Distance'!$AB$31:$AM$42,MATCH(J$30,'Time-Distance'!$AB$31:$AM$31,0),FALSE)</f>
        <v>8</v>
      </c>
      <c r="K41">
        <f>(VLOOKUP($B41,'Time-Distance'!$B$31:$M$42,MATCH(K$30,'Time-Distance'!$B$31:$M$31,0),FALSE)/60)*Model!$AD$17+(IF(Model!$AD$23=1,costs!$C$55,costs!$C$56)/60)*Model!$AD$17+VLOOKUP(costs!$B41,'Time-Distance'!$AB$31:$AM$42,MATCH(K$30,'Time-Distance'!$AB$31:$AM$31,0),FALSE)</f>
        <v>10.5</v>
      </c>
      <c r="L41">
        <f>(VLOOKUP($B41,'Time-Distance'!$B$31:$M$42,MATCH(L$30,'Time-Distance'!$B$31:$M$31,0),FALSE)/60)*Model!$AD$17+(IF(Model!$AD$23=1,costs!$C$55,costs!$C$56)/60)*Model!$AD$17+VLOOKUP(costs!$B41,'Time-Distance'!$AB$31:$AM$42,MATCH(L$30,'Time-Distance'!$AB$31:$AM$31,0),FALSE)</f>
        <v>12.3</v>
      </c>
      <c r="M41">
        <f>(VLOOKUP($B41,'Time-Distance'!$B$31:$M$42,MATCH(M$30,'Time-Distance'!$B$31:$M$31,0),FALSE)/60)*Model!$AD$17+(IF(Model!$AD$23=1,costs!$C$55,costs!$C$56)/60)*Model!$AD$17+VLOOKUP(costs!$B41,'Time-Distance'!$AB$31:$AM$42,MATCH(M$30,'Time-Distance'!$AB$31:$AM$31,0),FALSE)</f>
        <v>3.5</v>
      </c>
    </row>
    <row r="42" spans="2:13">
      <c r="C42" s="41"/>
      <c r="D42" s="41"/>
      <c r="E42" s="41"/>
      <c r="F42" s="41"/>
      <c r="G42" s="41"/>
      <c r="H42" s="41"/>
    </row>
    <row r="43" spans="2:13">
      <c r="C43" s="41"/>
      <c r="D43" s="41"/>
      <c r="E43" s="41"/>
      <c r="F43" s="41"/>
      <c r="G43" s="41"/>
      <c r="H43" s="41"/>
    </row>
    <row r="44" spans="2:13">
      <c r="C44" s="41"/>
      <c r="D44" s="41"/>
      <c r="E44" s="41"/>
      <c r="F44" s="41"/>
      <c r="G44" s="41"/>
      <c r="H44" s="41"/>
    </row>
    <row r="45" spans="2:13">
      <c r="C45" s="41"/>
      <c r="D45" s="41"/>
      <c r="E45" s="41"/>
      <c r="F45" s="41"/>
      <c r="G45" s="41"/>
      <c r="H45" s="41"/>
    </row>
    <row r="46" spans="2:13">
      <c r="C46" s="41"/>
      <c r="D46" s="41"/>
      <c r="E46" s="41"/>
      <c r="F46" s="41"/>
      <c r="G46" s="41"/>
      <c r="H46" s="41"/>
    </row>
    <row r="48" spans="2:13">
      <c r="B48" s="16" t="s">
        <v>87</v>
      </c>
      <c r="C48" s="16"/>
      <c r="D48" s="16"/>
      <c r="E48" s="16"/>
      <c r="F48" s="16"/>
      <c r="G48" s="16"/>
      <c r="H48" s="16"/>
    </row>
    <row r="49" spans="2:11">
      <c r="B49" s="43"/>
      <c r="C49" s="41"/>
      <c r="D49" s="41"/>
      <c r="E49" s="41"/>
    </row>
    <row r="50" spans="2:11">
      <c r="B50" s="41" t="s">
        <v>88</v>
      </c>
      <c r="C50" s="41" t="s">
        <v>89</v>
      </c>
      <c r="D50" s="41"/>
      <c r="E50" s="44"/>
    </row>
    <row r="51" spans="2:11">
      <c r="B51" s="41" t="s">
        <v>90</v>
      </c>
      <c r="C51" s="41">
        <f>AVERAGE(5.43,5.55)*0.5</f>
        <v>2.7450000000000001</v>
      </c>
      <c r="D51" s="41"/>
      <c r="E51" s="44"/>
    </row>
    <row r="52" spans="2:11">
      <c r="B52" s="41" t="s">
        <v>91</v>
      </c>
      <c r="C52" s="41">
        <f>8.26*0.5</f>
        <v>4.13</v>
      </c>
      <c r="D52" s="41"/>
      <c r="E52" s="41"/>
    </row>
    <row r="53" spans="2:11">
      <c r="B53" s="41"/>
      <c r="C53" s="41"/>
      <c r="D53" s="41"/>
      <c r="E53" s="41"/>
    </row>
    <row r="54" spans="2:11">
      <c r="B54" s="41" t="s">
        <v>92</v>
      </c>
      <c r="C54" s="41" t="s">
        <v>89</v>
      </c>
      <c r="D54" s="41"/>
      <c r="E54" s="41"/>
    </row>
    <row r="55" spans="2:11">
      <c r="B55" s="41" t="s">
        <v>90</v>
      </c>
      <c r="C55" s="41">
        <v>8</v>
      </c>
      <c r="D55" s="41"/>
      <c r="E55" s="41"/>
    </row>
    <row r="56" spans="2:11">
      <c r="B56" s="41" t="s">
        <v>91</v>
      </c>
      <c r="C56" s="41">
        <v>2</v>
      </c>
      <c r="D56" s="41"/>
      <c r="E56" s="41"/>
    </row>
    <row r="57" spans="2:11">
      <c r="B57" s="41"/>
      <c r="C57" s="41"/>
      <c r="D57" s="41"/>
      <c r="E57" s="41"/>
    </row>
    <row r="58" spans="2:11">
      <c r="B58" s="41" t="s">
        <v>98</v>
      </c>
    </row>
    <row r="59" spans="2:11">
      <c r="B59" s="41" t="s">
        <v>97</v>
      </c>
      <c r="C59">
        <v>2.5</v>
      </c>
      <c r="J59" t="s">
        <v>2</v>
      </c>
      <c r="K59" s="1" t="s">
        <v>1</v>
      </c>
    </row>
    <row r="60" spans="2:11">
      <c r="B60" s="41" t="s">
        <v>96</v>
      </c>
      <c r="C60">
        <v>2</v>
      </c>
    </row>
    <row r="61" spans="2:11">
      <c r="B61" s="41" t="s">
        <v>90</v>
      </c>
      <c r="C61">
        <v>1</v>
      </c>
    </row>
    <row r="64" spans="2:11">
      <c r="E64" t="s">
        <v>90</v>
      </c>
      <c r="F64">
        <f>60/((9.2+0)*2)</f>
        <v>3.2608695652173916</v>
      </c>
    </row>
    <row r="65" spans="5:6">
      <c r="E65" t="s">
        <v>99</v>
      </c>
      <c r="F65">
        <f>60/(AVERAGE(7,3.2,11.6,5.3,1.5,8.1)*2)</f>
        <v>4.9046321525885563</v>
      </c>
    </row>
  </sheetData>
  <phoneticPr fontId="5" type="noConversion"/>
  <hyperlinks>
    <hyperlink ref="K59" r:id="rId1"/>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sheetPr codeName="Sheet5"/>
  <dimension ref="A2:N39"/>
  <sheetViews>
    <sheetView workbookViewId="0">
      <selection activeCell="E1" sqref="E1"/>
    </sheetView>
  </sheetViews>
  <sheetFormatPr defaultRowHeight="15"/>
  <cols>
    <col min="1" max="1" width="26.140625" bestFit="1" customWidth="1"/>
    <col min="2" max="2" width="26.140625" customWidth="1"/>
    <col min="3" max="3" width="12.28515625" customWidth="1"/>
    <col min="4" max="4" width="14.28515625" customWidth="1"/>
    <col min="5" max="5" width="11.85546875" customWidth="1"/>
    <col min="6" max="6" width="12.42578125" customWidth="1"/>
    <col min="7" max="7" width="13" customWidth="1"/>
    <col min="8" max="8" width="31.5703125" bestFit="1" customWidth="1"/>
    <col min="9" max="9" width="10.85546875" customWidth="1"/>
    <col min="10" max="10" width="4.85546875" customWidth="1"/>
    <col min="11" max="11" width="10.42578125" customWidth="1"/>
    <col min="12" max="12" width="4.85546875" customWidth="1"/>
    <col min="13" max="13" width="10.85546875" customWidth="1"/>
    <col min="14" max="14" width="6.140625" customWidth="1"/>
  </cols>
  <sheetData>
    <row r="2" spans="1:14">
      <c r="A2" s="17" t="s">
        <v>23</v>
      </c>
      <c r="B2" s="17"/>
      <c r="C2" s="6" t="s">
        <v>84</v>
      </c>
      <c r="D2" s="6" t="s">
        <v>85</v>
      </c>
      <c r="E2" s="6" t="s">
        <v>86</v>
      </c>
      <c r="F2" s="17"/>
      <c r="G2" s="17"/>
      <c r="H2" s="17"/>
      <c r="I2" s="18" t="s">
        <v>84</v>
      </c>
      <c r="J2" s="40"/>
      <c r="K2" t="s">
        <v>85</v>
      </c>
      <c r="L2" s="40"/>
      <c r="M2" t="s">
        <v>86</v>
      </c>
      <c r="N2" s="40"/>
    </row>
    <row r="3" spans="1:14">
      <c r="A3" t="s">
        <v>16</v>
      </c>
      <c r="B3" t="str">
        <f>VLOOKUP(A3,Restaurants!$C$5:$D$15,2,FALSE)</f>
        <v xml:space="preserve">Five Napkin Burger </v>
      </c>
      <c r="C3">
        <f>(I3/60)*Model!$AD$17</f>
        <v>13.5</v>
      </c>
      <c r="D3">
        <f>(K3/60)*Model!$AD$17</f>
        <v>24.5</v>
      </c>
      <c r="E3">
        <f>(M3/60)*Model!$AD$17</f>
        <v>39.5</v>
      </c>
      <c r="H3" t="str">
        <f>B3</f>
        <v xml:space="preserve">Five Napkin Burger </v>
      </c>
      <c r="I3" s="39">
        <v>27</v>
      </c>
      <c r="J3" s="40"/>
      <c r="K3" s="39">
        <v>49</v>
      </c>
      <c r="L3" s="40"/>
      <c r="M3" s="39">
        <v>79</v>
      </c>
      <c r="N3" s="40"/>
    </row>
    <row r="4" spans="1:14">
      <c r="A4" t="s">
        <v>11</v>
      </c>
      <c r="B4" t="str">
        <f>VLOOKUP(A4,Restaurants!$C$5:$D$15,2,FALSE)</f>
        <v xml:space="preserve">J.G. Melon </v>
      </c>
      <c r="C4">
        <f>(I4/60)*Model!$AD$17</f>
        <v>12</v>
      </c>
      <c r="D4">
        <f>(K4/60)*Model!$AD$17</f>
        <v>36.5</v>
      </c>
      <c r="E4">
        <f>(M4/60)*Model!$AD$17</f>
        <v>53</v>
      </c>
      <c r="H4" t="str">
        <f t="shared" ref="H4:H39" si="0">B4</f>
        <v xml:space="preserve">J.G. Melon </v>
      </c>
      <c r="I4" s="39">
        <v>24</v>
      </c>
      <c r="J4" s="40"/>
      <c r="K4" s="39">
        <v>73</v>
      </c>
      <c r="L4" s="40"/>
      <c r="M4" s="39">
        <v>106</v>
      </c>
      <c r="N4" s="40"/>
    </row>
    <row r="5" spans="1:14">
      <c r="A5" t="s">
        <v>9</v>
      </c>
      <c r="B5" t="str">
        <f>VLOOKUP(A5,Restaurants!$C$5:$D$15,2,FALSE)</f>
        <v xml:space="preserve">Shake Shack </v>
      </c>
      <c r="C5">
        <f>(I5/60)*Model!$AD$17</f>
        <v>17.5</v>
      </c>
      <c r="D5">
        <f>(K5/60)*Model!$AD$17</f>
        <v>14.5</v>
      </c>
      <c r="E5">
        <f>(M5/60)*Model!$AD$17</f>
        <v>28</v>
      </c>
      <c r="H5" t="str">
        <f t="shared" si="0"/>
        <v xml:space="preserve">Shake Shack </v>
      </c>
      <c r="I5" s="39">
        <v>35</v>
      </c>
      <c r="J5" s="40"/>
      <c r="K5" s="39">
        <v>29</v>
      </c>
      <c r="L5" s="40"/>
      <c r="M5" s="39">
        <v>56</v>
      </c>
      <c r="N5" s="40"/>
    </row>
    <row r="6" spans="1:14">
      <c r="A6" t="s">
        <v>10</v>
      </c>
      <c r="B6" t="str">
        <f>VLOOKUP(A6,Restaurants!$C$5:$D$15,2,FALSE)</f>
        <v>Burger Joint at Le Parker Meridien</v>
      </c>
      <c r="C6">
        <f>(I6/60)*Model!$AD$17</f>
        <v>3.5</v>
      </c>
      <c r="D6">
        <f>(K6/60)*Model!$AD$17</f>
        <v>27</v>
      </c>
      <c r="E6">
        <f>(M6/60)*Model!$AD$17</f>
        <v>44</v>
      </c>
      <c r="H6" t="str">
        <f t="shared" si="0"/>
        <v>Burger Joint at Le Parker Meridien</v>
      </c>
      <c r="I6" s="39">
        <v>7</v>
      </c>
      <c r="J6" s="40"/>
      <c r="K6" s="39">
        <v>54</v>
      </c>
      <c r="L6" s="40"/>
      <c r="M6" s="39">
        <v>88</v>
      </c>
      <c r="N6" s="40"/>
    </row>
    <row r="7" spans="1:14">
      <c r="A7" t="s">
        <v>20</v>
      </c>
      <c r="B7" t="str">
        <f>VLOOKUP(A7,Restaurants!$C$5:$D$15,2,FALSE)</f>
        <v>Corner Bistro</v>
      </c>
      <c r="C7">
        <f>(I7/60)*Model!$AD$17</f>
        <v>28.5</v>
      </c>
      <c r="D7">
        <f>(K7/60)*Model!$AD$17</f>
        <v>8</v>
      </c>
      <c r="E7">
        <f>(M7/60)*Model!$AD$17</f>
        <v>23</v>
      </c>
      <c r="H7" t="str">
        <f t="shared" si="0"/>
        <v>Corner Bistro</v>
      </c>
      <c r="I7" s="39">
        <v>57</v>
      </c>
      <c r="J7" s="40"/>
      <c r="K7" s="39">
        <v>16</v>
      </c>
      <c r="L7" s="40"/>
      <c r="M7" s="39">
        <v>46</v>
      </c>
      <c r="N7" s="40"/>
    </row>
    <row r="8" spans="1:14">
      <c r="A8" t="s">
        <v>28</v>
      </c>
      <c r="B8" t="str">
        <f>VLOOKUP(A8,Restaurants!$C$5:$D$15,2,FALSE)</f>
        <v>Rare Bar &amp; Grill</v>
      </c>
      <c r="C8">
        <f>(I8/60)*Model!$AD$17</f>
        <v>13.5</v>
      </c>
      <c r="D8">
        <f>(K8/60)*Model!$AD$17</f>
        <v>18.5</v>
      </c>
      <c r="E8">
        <f>(M8/60)*Model!$AD$17</f>
        <v>34.5</v>
      </c>
      <c r="H8" t="str">
        <f t="shared" si="0"/>
        <v>Rare Bar &amp; Grill</v>
      </c>
      <c r="I8" s="39">
        <v>27</v>
      </c>
      <c r="J8" s="40"/>
      <c r="K8" s="39">
        <v>37</v>
      </c>
      <c r="L8" s="40"/>
      <c r="M8" s="39">
        <v>69</v>
      </c>
      <c r="N8" s="40"/>
    </row>
    <row r="9" spans="1:14">
      <c r="A9" t="s">
        <v>17</v>
      </c>
      <c r="B9" t="str">
        <f>VLOOKUP(A9,Restaurants!$C$5:$D$15,2,FALSE)</f>
        <v>Minetta Tavern</v>
      </c>
      <c r="C9">
        <f>(I9/60)*Model!$AD$17</f>
        <v>27.5</v>
      </c>
      <c r="D9">
        <f>(K9/60)*Model!$AD$17</f>
        <v>3</v>
      </c>
      <c r="E9">
        <f>(M9/60)*Model!$AD$17</f>
        <v>18</v>
      </c>
      <c r="H9" t="str">
        <f t="shared" si="0"/>
        <v>Minetta Tavern</v>
      </c>
      <c r="I9" s="39">
        <v>55</v>
      </c>
      <c r="J9" s="40"/>
      <c r="K9" s="39">
        <v>6</v>
      </c>
      <c r="L9" s="40"/>
      <c r="M9" s="39">
        <v>36</v>
      </c>
      <c r="N9" s="40"/>
    </row>
    <row r="10" spans="1:14">
      <c r="A10" t="s">
        <v>18</v>
      </c>
      <c r="B10" t="str">
        <f>VLOOKUP(A10,Restaurants!$C$5:$D$15,2,FALSE)</f>
        <v>West 3rd Common</v>
      </c>
      <c r="C10">
        <f>(I10/60)*Model!$AD$17</f>
        <v>28</v>
      </c>
      <c r="D10">
        <f>(K10/60)*Model!$AD$17</f>
        <v>1.5</v>
      </c>
      <c r="E10">
        <f>(M10/60)*Model!$AD$17</f>
        <v>17</v>
      </c>
      <c r="H10" t="str">
        <f t="shared" si="0"/>
        <v>West 3rd Common</v>
      </c>
      <c r="I10" s="39">
        <v>56</v>
      </c>
      <c r="J10" s="40"/>
      <c r="K10" s="39">
        <v>3</v>
      </c>
      <c r="L10" s="40"/>
      <c r="M10" s="39">
        <v>34</v>
      </c>
      <c r="N10" s="40"/>
    </row>
    <row r="11" spans="1:14">
      <c r="A11" t="s">
        <v>75</v>
      </c>
      <c r="B11" t="str">
        <f>VLOOKUP(A11,Restaurants!$C$5:$D$15,2,FALSE)</f>
        <v>Blt Burger</v>
      </c>
      <c r="C11">
        <f>(I11/60)*Model!$AD$17</f>
        <v>24.5</v>
      </c>
      <c r="D11">
        <f>(K11/60)*Model!$AD$17</f>
        <v>6</v>
      </c>
      <c r="E11">
        <f>(M11/60)*Model!$AD$17</f>
        <v>21.5</v>
      </c>
      <c r="H11" t="str">
        <f t="shared" si="0"/>
        <v>Blt Burger</v>
      </c>
      <c r="I11" s="39">
        <v>49</v>
      </c>
      <c r="J11" s="40"/>
      <c r="K11" s="39">
        <v>12</v>
      </c>
      <c r="L11" s="40"/>
      <c r="M11" s="39">
        <v>43</v>
      </c>
      <c r="N11" s="40"/>
    </row>
    <row r="12" spans="1:14">
      <c r="A12" t="s">
        <v>76</v>
      </c>
      <c r="B12" t="str">
        <f>VLOOKUP(A12,Restaurants!$C$5:$D$15,2,FALSE)</f>
        <v>DB Bistro Moderne</v>
      </c>
      <c r="C12">
        <f>(I12/60)*Model!$AD$17</f>
        <v>8.5</v>
      </c>
      <c r="D12">
        <f>(K12/60)*Model!$AD$17</f>
        <v>21</v>
      </c>
      <c r="E12">
        <f>(M12/60)*Model!$AD$17</f>
        <v>38.5</v>
      </c>
      <c r="H12" t="str">
        <f t="shared" si="0"/>
        <v>DB Bistro Moderne</v>
      </c>
      <c r="I12" s="39">
        <v>17</v>
      </c>
      <c r="J12" s="40"/>
      <c r="K12" s="39">
        <v>42</v>
      </c>
      <c r="L12" s="40"/>
      <c r="M12" s="39">
        <v>77</v>
      </c>
      <c r="N12" s="40"/>
    </row>
    <row r="13" spans="1:14">
      <c r="A13" s="41" t="s">
        <v>74</v>
      </c>
      <c r="B13" t="str">
        <f>VLOOKUP(A13,Restaurants!$C$5:$D$15,2,FALSE)</f>
        <v>Paul's "Da Burger Joint"</v>
      </c>
      <c r="C13">
        <f>(I13/60)*Model!$AD$17</f>
        <v>28</v>
      </c>
      <c r="D13">
        <f>(K13/60)*Model!$AD$17</f>
        <v>5.5</v>
      </c>
      <c r="E13">
        <f>(M13/60)*Model!$AD$17</f>
        <v>22</v>
      </c>
      <c r="H13" t="str">
        <f t="shared" si="0"/>
        <v>Paul's "Da Burger Joint"</v>
      </c>
      <c r="I13" s="39">
        <v>56</v>
      </c>
      <c r="J13" s="40"/>
      <c r="K13" s="39">
        <v>11</v>
      </c>
      <c r="L13" s="40"/>
      <c r="M13" s="39">
        <v>44</v>
      </c>
      <c r="N13" s="40"/>
    </row>
    <row r="14" spans="1:14">
      <c r="I14" s="39"/>
      <c r="J14" s="40"/>
      <c r="K14" s="39"/>
      <c r="L14" s="40"/>
      <c r="M14" s="39"/>
      <c r="N14" s="40"/>
    </row>
    <row r="15" spans="1:14">
      <c r="A15" s="17" t="s">
        <v>102</v>
      </c>
      <c r="B15" s="17"/>
      <c r="C15" s="6" t="s">
        <v>84</v>
      </c>
      <c r="D15" s="6" t="s">
        <v>85</v>
      </c>
      <c r="E15" s="6" t="s">
        <v>86</v>
      </c>
      <c r="F15" s="17"/>
      <c r="G15" s="17"/>
      <c r="I15" s="18" t="s">
        <v>84</v>
      </c>
      <c r="J15" s="40" t="s">
        <v>30</v>
      </c>
      <c r="K15" t="s">
        <v>85</v>
      </c>
      <c r="L15" s="40" t="s">
        <v>30</v>
      </c>
      <c r="M15" t="s">
        <v>86</v>
      </c>
      <c r="N15" s="40" t="s">
        <v>30</v>
      </c>
    </row>
    <row r="16" spans="1:14">
      <c r="A16" t="s">
        <v>16</v>
      </c>
      <c r="B16" t="str">
        <f>VLOOKUP(A16,Restaurants!$C$5:$D$15,2,FALSE)</f>
        <v xml:space="preserve">Five Napkin Burger </v>
      </c>
      <c r="C16">
        <f>(I16/60)*Model!$AD$17+(IF(Model!AD23=1,costs!$C$51,costs!$C$52)*'Starting Points'!J16/60)*Model!$AD$17+2</f>
        <v>11.065</v>
      </c>
      <c r="D16">
        <f>(K16/60)*Model!$AD$17+(IF(Model!AE23=1,costs!$C$51,costs!$C$52)*'Starting Points'!L16/60)*Model!$AD$17+2</f>
        <v>14.065</v>
      </c>
      <c r="E16">
        <f>(M16/60)*Model!$AD$17+(IF(Model!AF23=1,costs!$C$51,costs!$C$52)*'Starting Points'!N16/60)*Model!$AD$17+2</f>
        <v>16.064999999999998</v>
      </c>
      <c r="H16" t="str">
        <f t="shared" si="0"/>
        <v xml:space="preserve">Five Napkin Burger </v>
      </c>
      <c r="I16" s="39">
        <v>14</v>
      </c>
      <c r="J16" s="40">
        <v>1</v>
      </c>
      <c r="K16" s="39">
        <v>20</v>
      </c>
      <c r="L16" s="40">
        <v>1</v>
      </c>
      <c r="M16" s="39">
        <v>24</v>
      </c>
      <c r="N16" s="40">
        <v>1</v>
      </c>
    </row>
    <row r="17" spans="1:14">
      <c r="A17" t="s">
        <v>11</v>
      </c>
      <c r="B17" t="str">
        <f>VLOOKUP(A17,Restaurants!$C$5:$D$15,2,FALSE)</f>
        <v xml:space="preserve">J.G. Melon </v>
      </c>
      <c r="C17">
        <f>(I17/60)*Model!$AD$17+(IF(Model!AD24=1,costs!$C$51,costs!$C$52)*'Starting Points'!J17/60)*Model!$AD$17+2</f>
        <v>14.129999999999999</v>
      </c>
      <c r="D17">
        <f>(K17/60)*Model!$AD$17+(IF(Model!AE24=1,costs!$C$51,costs!$C$52)*'Starting Points'!L17/60)*Model!$AD$17+2</f>
        <v>16.564999999999998</v>
      </c>
      <c r="E17">
        <f>(M17/60)*Model!$AD$17+(IF(Model!AF24=1,costs!$C$51,costs!$C$52)*'Starting Points'!N17/60)*Model!$AD$17+2</f>
        <v>15.065</v>
      </c>
      <c r="H17" t="str">
        <f t="shared" si="0"/>
        <v xml:space="preserve">J.G. Melon </v>
      </c>
      <c r="I17" s="39">
        <v>16</v>
      </c>
      <c r="J17" s="40">
        <v>2</v>
      </c>
      <c r="K17" s="39">
        <v>25</v>
      </c>
      <c r="L17" s="40">
        <v>1</v>
      </c>
      <c r="M17" s="39">
        <v>22</v>
      </c>
      <c r="N17" s="40">
        <v>1</v>
      </c>
    </row>
    <row r="18" spans="1:14">
      <c r="A18" t="s">
        <v>9</v>
      </c>
      <c r="B18" t="str">
        <f>VLOOKUP(A18,Restaurants!$C$5:$D$15,2,FALSE)</f>
        <v xml:space="preserve">Shake Shack </v>
      </c>
      <c r="C18">
        <f>(I18/60)*Model!$AD$17+(IF(Model!AD25=1,costs!$C$51,costs!$C$52)*'Starting Points'!J18/60)*Model!$AD$17+2</f>
        <v>10.565</v>
      </c>
      <c r="D18">
        <f>(K18/60)*Model!$AD$17+(IF(Model!AE25=1,costs!$C$51,costs!$C$52)*'Starting Points'!L18/60)*Model!$AD$17+2</f>
        <v>13.065</v>
      </c>
      <c r="E18">
        <f>(M18/60)*Model!$AD$17+(IF(Model!AF25=1,costs!$C$51,costs!$C$52)*'Starting Points'!N18/60)*Model!$AD$17+2</f>
        <v>13.629999999999999</v>
      </c>
      <c r="H18" t="str">
        <f t="shared" si="0"/>
        <v xml:space="preserve">Shake Shack </v>
      </c>
      <c r="I18" s="39">
        <v>13</v>
      </c>
      <c r="J18" s="40">
        <v>1</v>
      </c>
      <c r="K18" s="39">
        <v>18</v>
      </c>
      <c r="L18" s="40">
        <v>1</v>
      </c>
      <c r="M18" s="39">
        <v>15</v>
      </c>
      <c r="N18" s="40">
        <v>2</v>
      </c>
    </row>
    <row r="19" spans="1:14">
      <c r="A19" t="s">
        <v>10</v>
      </c>
      <c r="B19" t="str">
        <f>VLOOKUP(A19,Restaurants!$C$5:$D$15,2,FALSE)</f>
        <v>Burger Joint at Le Parker Meridien</v>
      </c>
      <c r="C19">
        <f>(I19/60)*Model!$AD$17+(IF(Model!AD26=1,costs!$C$51,costs!$C$52)*'Starting Points'!J19/60)*Model!$AD$17+2</f>
        <v>6.5649999999999995</v>
      </c>
      <c r="D19">
        <f>(K19/60)*Model!$AD$17+(IF(Model!AE26=1,costs!$C$51,costs!$C$52)*'Starting Points'!L19/60)*Model!$AD$17+2</f>
        <v>12.565</v>
      </c>
      <c r="E19">
        <f>(M19/60)*Model!$AD$17+(IF(Model!AF26=1,costs!$C$51,costs!$C$52)*'Starting Points'!N19/60)*Model!$AD$17+2</f>
        <v>17.63</v>
      </c>
      <c r="H19" t="str">
        <f t="shared" si="0"/>
        <v>Burger Joint at Le Parker Meridien</v>
      </c>
      <c r="I19" s="39">
        <v>5</v>
      </c>
      <c r="J19" s="40">
        <v>1</v>
      </c>
      <c r="K19" s="39">
        <v>17</v>
      </c>
      <c r="L19" s="40">
        <v>1</v>
      </c>
      <c r="M19" s="39">
        <v>23</v>
      </c>
      <c r="N19" s="40">
        <v>2</v>
      </c>
    </row>
    <row r="20" spans="1:14">
      <c r="A20" t="s">
        <v>20</v>
      </c>
      <c r="B20" t="str">
        <f>VLOOKUP(A20,Restaurants!$C$5:$D$15,2,FALSE)</f>
        <v>Corner Bistro</v>
      </c>
      <c r="C20">
        <f>(I20/60)*Model!$AD$17+(IF(Model!AD27=1,costs!$C$51,costs!$C$52)*'Starting Points'!J20/60)*Model!$AD$17+2</f>
        <v>15.129999999999999</v>
      </c>
      <c r="D20">
        <f>(K20/60)*Model!$AD$17+(IF(Model!AE27=1,costs!$C$51,costs!$C$52)*'Starting Points'!L20/60)*Model!$AD$17+2</f>
        <v>10.565</v>
      </c>
      <c r="E20">
        <f>(M20/60)*Model!$AD$17+(IF(Model!AF27=1,costs!$C$51,costs!$C$52)*'Starting Points'!N20/60)*Model!$AD$17+2</f>
        <v>12.065</v>
      </c>
      <c r="H20" t="str">
        <f t="shared" si="0"/>
        <v>Corner Bistro</v>
      </c>
      <c r="I20" s="39">
        <v>18</v>
      </c>
      <c r="J20" s="40">
        <v>2</v>
      </c>
      <c r="K20" s="39">
        <v>13</v>
      </c>
      <c r="L20" s="40">
        <v>1</v>
      </c>
      <c r="M20" s="39">
        <v>16</v>
      </c>
      <c r="N20" s="40">
        <v>1</v>
      </c>
    </row>
    <row r="21" spans="1:14">
      <c r="A21" t="s">
        <v>28</v>
      </c>
      <c r="B21" t="str">
        <f>VLOOKUP(A21,Restaurants!$C$5:$D$15,2,FALSE)</f>
        <v>Rare Bar &amp; Grill</v>
      </c>
      <c r="C21">
        <f>(I21/60)*Model!$AD$17+(IF(Model!AD28=1,costs!$C$51,costs!$C$52)*'Starting Points'!J21/60)*Model!$AD$17+2</f>
        <v>14.065</v>
      </c>
      <c r="D21">
        <f>(K21/60)*Model!$AD$17+(IF(Model!AE28=1,costs!$C$51,costs!$C$52)*'Starting Points'!L21/60)*Model!$AD$17+2</f>
        <v>14.065</v>
      </c>
      <c r="E21">
        <f>(M21/60)*Model!$AD$17+(IF(Model!AF28=1,costs!$C$51,costs!$C$52)*'Starting Points'!N21/60)*Model!$AD$17+2</f>
        <v>12.565</v>
      </c>
      <c r="H21" t="str">
        <f t="shared" si="0"/>
        <v>Rare Bar &amp; Grill</v>
      </c>
      <c r="I21" s="39">
        <v>20</v>
      </c>
      <c r="J21" s="40">
        <v>1</v>
      </c>
      <c r="K21" s="39">
        <v>20</v>
      </c>
      <c r="L21" s="40">
        <v>1</v>
      </c>
      <c r="M21" s="39">
        <v>17</v>
      </c>
      <c r="N21" s="40">
        <v>1</v>
      </c>
    </row>
    <row r="22" spans="1:14">
      <c r="A22" t="s">
        <v>17</v>
      </c>
      <c r="B22" t="str">
        <f>VLOOKUP(A22,Restaurants!$C$5:$D$15,2,FALSE)</f>
        <v>Minetta Tavern</v>
      </c>
      <c r="C22">
        <f>(I22/60)*Model!$AD$17+(IF(Model!AD29=1,costs!$C$51,costs!$C$52)*'Starting Points'!J22/60)*Model!$AD$17+2</f>
        <v>16.13</v>
      </c>
      <c r="D22">
        <f>(K22/60)*Model!$AD$17+(IF(Model!AE29=1,costs!$C$51,costs!$C$52)*'Starting Points'!L22/60)*Model!$AD$17+2</f>
        <v>504.06500000000005</v>
      </c>
      <c r="E22">
        <f>(M22/60)*Model!$AD$17+(IF(Model!AF29=1,costs!$C$51,costs!$C$52)*'Starting Points'!N22/60)*Model!$AD$17+2</f>
        <v>11.565</v>
      </c>
      <c r="H22" t="str">
        <f t="shared" si="0"/>
        <v>Minetta Tavern</v>
      </c>
      <c r="I22" s="39">
        <v>20</v>
      </c>
      <c r="J22" s="40">
        <v>2</v>
      </c>
      <c r="K22" s="42">
        <v>1000</v>
      </c>
      <c r="L22" s="40">
        <v>1</v>
      </c>
      <c r="M22" s="39">
        <v>15</v>
      </c>
      <c r="N22" s="40">
        <v>1</v>
      </c>
    </row>
    <row r="23" spans="1:14">
      <c r="A23" t="s">
        <v>18</v>
      </c>
      <c r="B23" t="str">
        <f>VLOOKUP(A23,Restaurants!$C$5:$D$15,2,FALSE)</f>
        <v>West 3rd Common</v>
      </c>
      <c r="C23">
        <f>(I23/60)*Model!$AD$17+(IF(Model!AD30=1,costs!$C$51,costs!$C$52)*'Starting Points'!J23/60)*Model!$AD$17+2</f>
        <v>13.065</v>
      </c>
      <c r="D23">
        <f>(K23/60)*Model!$AD$17+(IF(Model!AE30=1,costs!$C$51,costs!$C$52)*'Starting Points'!L23/60)*Model!$AD$17+2</f>
        <v>504.06500000000005</v>
      </c>
      <c r="E23">
        <f>(M23/60)*Model!$AD$17+(IF(Model!AF30=1,costs!$C$51,costs!$C$52)*'Starting Points'!N23/60)*Model!$AD$17+2</f>
        <v>11.629999999999999</v>
      </c>
      <c r="H23" t="str">
        <f t="shared" si="0"/>
        <v>West 3rd Common</v>
      </c>
      <c r="I23" s="39">
        <v>18</v>
      </c>
      <c r="J23" s="40">
        <v>1</v>
      </c>
      <c r="K23" s="42">
        <v>1000</v>
      </c>
      <c r="L23" s="40">
        <v>1</v>
      </c>
      <c r="M23" s="39">
        <v>11</v>
      </c>
      <c r="N23" s="40">
        <v>2</v>
      </c>
    </row>
    <row r="24" spans="1:14">
      <c r="A24" t="s">
        <v>75</v>
      </c>
      <c r="B24" t="str">
        <f>VLOOKUP(A24,Restaurants!$C$5:$D$15,2,FALSE)</f>
        <v>Blt Burger</v>
      </c>
      <c r="C24">
        <f>(I24/60)*Model!$AD$17+(IF(Model!AD31=1,costs!$C$51,costs!$C$52)*'Starting Points'!J24/60)*Model!$AD$17+2</f>
        <v>15.129999999999999</v>
      </c>
      <c r="D24">
        <f>(K24/60)*Model!$AD$17+(IF(Model!AE31=1,costs!$C$51,costs!$C$52)*'Starting Points'!L24/60)*Model!$AD$17+2</f>
        <v>10.065</v>
      </c>
      <c r="E24">
        <f>(M24/60)*Model!$AD$17+(IF(Model!AF31=1,costs!$C$51,costs!$C$52)*'Starting Points'!N24/60)*Model!$AD$17+2</f>
        <v>12.065</v>
      </c>
      <c r="H24" t="str">
        <f t="shared" si="0"/>
        <v>Blt Burger</v>
      </c>
      <c r="I24" s="39">
        <v>18</v>
      </c>
      <c r="J24" s="40">
        <v>2</v>
      </c>
      <c r="K24" s="39">
        <v>12</v>
      </c>
      <c r="L24" s="40">
        <v>1</v>
      </c>
      <c r="M24" s="39">
        <v>16</v>
      </c>
      <c r="N24" s="40">
        <v>1</v>
      </c>
    </row>
    <row r="25" spans="1:14">
      <c r="A25" t="s">
        <v>76</v>
      </c>
      <c r="B25" t="str">
        <f>VLOOKUP(A25,Restaurants!$C$5:$D$15,2,FALSE)</f>
        <v>DB Bistro Moderne</v>
      </c>
      <c r="C25">
        <f>(I25/60)*Model!$AD$17+(IF(Model!AD32=1,costs!$C$51,costs!$C$52)*'Starting Points'!J25/60)*Model!$AD$17+2</f>
        <v>10.565</v>
      </c>
      <c r="D25">
        <f>(K25/60)*Model!$AD$17+(IF(Model!AE32=1,costs!$C$51,costs!$C$52)*'Starting Points'!L25/60)*Model!$AD$17+2</f>
        <v>13.065</v>
      </c>
      <c r="E25">
        <f>(M25/60)*Model!$AD$17+(IF(Model!AF32=1,costs!$C$51,costs!$C$52)*'Starting Points'!N25/60)*Model!$AD$17+2</f>
        <v>14.565</v>
      </c>
      <c r="H25" t="str">
        <f t="shared" si="0"/>
        <v>DB Bistro Moderne</v>
      </c>
      <c r="I25" s="39">
        <v>13</v>
      </c>
      <c r="J25" s="40">
        <v>1</v>
      </c>
      <c r="K25" s="39">
        <v>18</v>
      </c>
      <c r="L25" s="40">
        <v>1</v>
      </c>
      <c r="M25" s="39">
        <v>21</v>
      </c>
      <c r="N25" s="40">
        <v>1</v>
      </c>
    </row>
    <row r="26" spans="1:14">
      <c r="A26" s="41" t="s">
        <v>74</v>
      </c>
      <c r="B26" t="str">
        <f>VLOOKUP(A26,Restaurants!$C$5:$D$15,2,FALSE)</f>
        <v>Paul's "Da Burger Joint"</v>
      </c>
      <c r="C26">
        <f>(I26/60)*Model!$AD$17+(IF(Model!AD33=1,costs!$C$51,costs!$C$52)*'Starting Points'!J26/60)*Model!$AD$17+2</f>
        <v>14.065</v>
      </c>
      <c r="D26">
        <f>(K26/60)*Model!$AD$17+(IF(Model!AE33=1,costs!$C$51,costs!$C$52)*'Starting Points'!L26/60)*Model!$AD$17+2</f>
        <v>9.0649999999999995</v>
      </c>
      <c r="E26">
        <f>(M26/60)*Model!$AD$17+(IF(Model!AF33=1,costs!$C$51,costs!$C$52)*'Starting Points'!N26/60)*Model!$AD$17+2</f>
        <v>12.629999999999999</v>
      </c>
      <c r="H26" t="str">
        <f t="shared" si="0"/>
        <v>Paul's "Da Burger Joint"</v>
      </c>
      <c r="I26" s="39">
        <v>20</v>
      </c>
      <c r="J26" s="40">
        <v>1</v>
      </c>
      <c r="K26" s="39">
        <v>10</v>
      </c>
      <c r="L26" s="40">
        <v>1</v>
      </c>
      <c r="M26" s="39">
        <v>13</v>
      </c>
      <c r="N26" s="40">
        <v>2</v>
      </c>
    </row>
    <row r="27" spans="1:14">
      <c r="I27" s="39"/>
      <c r="J27" s="40"/>
      <c r="K27" s="39"/>
      <c r="L27" s="40"/>
      <c r="M27" s="39"/>
      <c r="N27" s="40"/>
    </row>
    <row r="28" spans="1:14">
      <c r="A28" s="17" t="s">
        <v>25</v>
      </c>
      <c r="B28" s="17"/>
      <c r="C28" s="6" t="s">
        <v>84</v>
      </c>
      <c r="D28" s="6" t="s">
        <v>85</v>
      </c>
      <c r="E28" s="6" t="s">
        <v>86</v>
      </c>
      <c r="F28" s="17"/>
      <c r="G28" s="17"/>
      <c r="I28" s="18" t="s">
        <v>84</v>
      </c>
      <c r="J28" s="40" t="s">
        <v>31</v>
      </c>
      <c r="K28" t="s">
        <v>85</v>
      </c>
      <c r="L28" s="40" t="s">
        <v>31</v>
      </c>
      <c r="M28" t="s">
        <v>86</v>
      </c>
      <c r="N28" s="19" t="s">
        <v>31</v>
      </c>
    </row>
    <row r="29" spans="1:14">
      <c r="A29" t="s">
        <v>16</v>
      </c>
      <c r="B29" t="str">
        <f>VLOOKUP(A29,Restaurants!$C$5:$D$15,2,FALSE)</f>
        <v xml:space="preserve">Five Napkin Burger </v>
      </c>
      <c r="C29">
        <f>(I29/60)*Model!$AD$17+IF(Model!$AD$23=1,costs!$C$55,costs!$C$56)/60*Model!$AD$17+J29*costs!$C$60+costs!$C$59+IF(Model!$AD$23=1,costs!$C$61,0)</f>
        <v>8.8000000000000007</v>
      </c>
      <c r="D29">
        <f>(K29/60)*Model!$AD$17+IF(Model!$AD$23=1,costs!$C$55,costs!$C$56)/60*Model!$AD$17+L29*costs!$C$60+costs!$C$59+IF(Model!$AD$23=1,costs!$C$61,0)</f>
        <v>15.5</v>
      </c>
      <c r="E29">
        <f>(M29/60)*Model!$AD$17+IF(Model!$AD$23=1,costs!$C$55,costs!$C$56)/60*Model!$AD$17+N29*costs!$C$60+costs!$C$59+IF(Model!$AD$23=1,costs!$C$61,0)</f>
        <v>21.4</v>
      </c>
      <c r="H29" t="str">
        <f t="shared" si="0"/>
        <v xml:space="preserve">Five Napkin Burger </v>
      </c>
      <c r="I29" s="39">
        <v>5</v>
      </c>
      <c r="J29" s="40">
        <v>1.4</v>
      </c>
      <c r="K29" s="39">
        <v>12</v>
      </c>
      <c r="L29" s="40">
        <v>3</v>
      </c>
      <c r="M29" s="39">
        <v>15</v>
      </c>
      <c r="N29" s="40">
        <v>5.2</v>
      </c>
    </row>
    <row r="30" spans="1:14">
      <c r="A30" t="s">
        <v>11</v>
      </c>
      <c r="B30" t="str">
        <f>VLOOKUP(A30,Restaurants!$C$5:$D$15,2,FALSE)</f>
        <v xml:space="preserve">J.G. Melon </v>
      </c>
      <c r="C30">
        <f>(I30/60)*Model!$AD$17+IF(Model!$AD$23=1,costs!$C$55,costs!$C$56)/60*Model!$AD$17+J30*costs!$C$60+costs!$C$59+IF(Model!$AD$23=1,costs!$C$61,0)</f>
        <v>8.4</v>
      </c>
      <c r="D30">
        <f>(K30/60)*Model!$AD$17+IF(Model!$AD$23=1,costs!$C$55,costs!$C$56)/60*Model!$AD$17+L30*costs!$C$60+costs!$C$59+IF(Model!$AD$23=1,costs!$C$61,0)</f>
        <v>17.100000000000001</v>
      </c>
      <c r="E30">
        <f>(M30/60)*Model!$AD$17+IF(Model!$AD$23=1,costs!$C$55,costs!$C$56)/60*Model!$AD$17+N30*costs!$C$60+costs!$C$59+IF(Model!$AD$23=1,costs!$C$61,0)</f>
        <v>27</v>
      </c>
      <c r="H30" t="str">
        <f t="shared" si="0"/>
        <v xml:space="preserve">J.G. Melon </v>
      </c>
      <c r="I30" s="39">
        <v>5</v>
      </c>
      <c r="J30" s="40">
        <v>1.2</v>
      </c>
      <c r="K30" s="39">
        <v>12</v>
      </c>
      <c r="L30" s="40">
        <v>3.8</v>
      </c>
      <c r="M30" s="39">
        <v>17</v>
      </c>
      <c r="N30" s="40">
        <v>7.5</v>
      </c>
    </row>
    <row r="31" spans="1:14">
      <c r="A31" t="s">
        <v>9</v>
      </c>
      <c r="B31" t="str">
        <f>VLOOKUP(A31,Restaurants!$C$5:$D$15,2,FALSE)</f>
        <v xml:space="preserve">Shake Shack </v>
      </c>
      <c r="C31">
        <f>(I31/60)*Model!$AD$17+IF(Model!$AD$23=1,costs!$C$55,costs!$C$56)/60*Model!$AD$17+J31*costs!$C$60+costs!$C$59+IF(Model!$AD$23=1,costs!$C$61,0)</f>
        <v>11.2</v>
      </c>
      <c r="D31">
        <f>(K31/60)*Model!$AD$17+IF(Model!$AD$23=1,costs!$C$55,costs!$C$56)/60*Model!$AD$17+L31*costs!$C$60+costs!$C$59+IF(Model!$AD$23=1,costs!$C$61,0)</f>
        <v>10.4</v>
      </c>
      <c r="E31">
        <f>(M31/60)*Model!$AD$17+IF(Model!$AD$23=1,costs!$C$55,costs!$C$56)/60*Model!$AD$17+N31*costs!$C$60+costs!$C$59+IF(Model!$AD$23=1,costs!$C$61,0)</f>
        <v>20.6</v>
      </c>
      <c r="H31" t="str">
        <f t="shared" si="0"/>
        <v xml:space="preserve">Shake Shack </v>
      </c>
      <c r="I31" s="39">
        <v>7</v>
      </c>
      <c r="J31" s="40">
        <v>2.1</v>
      </c>
      <c r="K31" s="39">
        <v>7</v>
      </c>
      <c r="L31" s="40">
        <v>1.7</v>
      </c>
      <c r="M31" s="39">
        <v>13</v>
      </c>
      <c r="N31" s="40">
        <v>5.3</v>
      </c>
    </row>
    <row r="32" spans="1:14">
      <c r="A32" t="s">
        <v>10</v>
      </c>
      <c r="B32" t="str">
        <f>VLOOKUP(A32,Restaurants!$C$5:$D$15,2,FALSE)</f>
        <v>Burger Joint at Le Parker Meridien</v>
      </c>
      <c r="C32">
        <f>(I32/60)*Model!$AD$17+IF(Model!$AD$23=1,costs!$C$55,costs!$C$56)/60*Model!$AD$17+J32*costs!$C$60+costs!$C$59+IF(Model!$AD$23=1,costs!$C$61,0)</f>
        <v>7.2</v>
      </c>
      <c r="D32">
        <f>(K32/60)*Model!$AD$17+IF(Model!$AD$23=1,costs!$C$55,costs!$C$56)/60*Model!$AD$17+L32*costs!$C$60+costs!$C$59+IF(Model!$AD$23=1,costs!$C$61,0)</f>
        <v>17.3</v>
      </c>
      <c r="E32">
        <f>(M32/60)*Model!$AD$17+IF(Model!$AD$23=1,costs!$C$55,costs!$C$56)/60*Model!$AD$17+N32*costs!$C$60+costs!$C$59+IF(Model!$AD$23=1,costs!$C$61,0)</f>
        <v>24</v>
      </c>
      <c r="H32" t="str">
        <f t="shared" si="0"/>
        <v>Burger Joint at Le Parker Meridien</v>
      </c>
      <c r="I32" s="39">
        <v>5</v>
      </c>
      <c r="J32" s="40">
        <v>0.6</v>
      </c>
      <c r="K32" s="39">
        <v>14</v>
      </c>
      <c r="L32" s="40">
        <v>3.4</v>
      </c>
      <c r="M32" s="39">
        <v>19</v>
      </c>
      <c r="N32" s="40">
        <v>5.5</v>
      </c>
    </row>
    <row r="33" spans="1:14">
      <c r="A33" t="s">
        <v>20</v>
      </c>
      <c r="B33" t="str">
        <f>VLOOKUP(A33,Restaurants!$C$5:$D$15,2,FALSE)</f>
        <v>Corner Bistro</v>
      </c>
      <c r="C33">
        <f>(I33/60)*Model!$AD$17+IF(Model!$AD$23=1,costs!$C$55,costs!$C$56)/60*Model!$AD$17+J33*costs!$C$60+costs!$C$59+IF(Model!$AD$23=1,costs!$C$61,0)</f>
        <v>14.5</v>
      </c>
      <c r="D33">
        <f>(K33/60)*Model!$AD$17+IF(Model!$AD$23=1,costs!$C$55,costs!$C$56)/60*Model!$AD$17+L33*costs!$C$60+costs!$C$59+IF(Model!$AD$23=1,costs!$C$61,0)</f>
        <v>7.8</v>
      </c>
      <c r="E33">
        <f>(M33/60)*Model!$AD$17+IF(Model!$AD$23=1,costs!$C$55,costs!$C$56)/60*Model!$AD$17+N33*costs!$C$60+costs!$C$59+IF(Model!$AD$23=1,costs!$C$61,0)</f>
        <v>14</v>
      </c>
      <c r="H33" t="str">
        <f t="shared" si="0"/>
        <v>Corner Bistro</v>
      </c>
      <c r="I33" s="39">
        <v>10</v>
      </c>
      <c r="J33" s="40">
        <v>3</v>
      </c>
      <c r="K33" s="39">
        <v>5</v>
      </c>
      <c r="L33" s="40">
        <v>0.9</v>
      </c>
      <c r="M33" s="39">
        <v>9</v>
      </c>
      <c r="N33" s="40">
        <v>3</v>
      </c>
    </row>
    <row r="34" spans="1:14">
      <c r="A34" t="s">
        <v>28</v>
      </c>
      <c r="B34" t="str">
        <f>VLOOKUP(A34,Restaurants!$C$5:$D$15,2,FALSE)</f>
        <v>Rare Bar &amp; Grill</v>
      </c>
      <c r="C34">
        <f>(I34/60)*Model!$AD$17+IF(Model!$AD$23=1,costs!$C$55,costs!$C$56)/60*Model!$AD$17+J34*costs!$C$60+costs!$C$59+IF(Model!$AD$23=1,costs!$C$61,0)</f>
        <v>9.1</v>
      </c>
      <c r="D34">
        <f>(K34/60)*Model!$AD$17+IF(Model!$AD$23=1,costs!$C$55,costs!$C$56)/60*Model!$AD$17+L34*costs!$C$60+costs!$C$59+IF(Model!$AD$23=1,costs!$C$61,0)</f>
        <v>11</v>
      </c>
      <c r="E34">
        <f>(M34/60)*Model!$AD$17+IF(Model!$AD$23=1,costs!$C$55,costs!$C$56)/60*Model!$AD$17+N34*costs!$C$60+costs!$C$59+IF(Model!$AD$23=1,costs!$C$61,0)</f>
        <v>22.3</v>
      </c>
      <c r="H34" t="str">
        <f t="shared" si="0"/>
        <v>Rare Bar &amp; Grill</v>
      </c>
      <c r="I34" s="39">
        <v>6</v>
      </c>
      <c r="J34" s="40">
        <v>1.3</v>
      </c>
      <c r="K34" s="39">
        <v>7</v>
      </c>
      <c r="L34" s="40">
        <v>2</v>
      </c>
      <c r="M34" s="39">
        <v>14</v>
      </c>
      <c r="N34" s="40">
        <v>5.9</v>
      </c>
    </row>
    <row r="35" spans="1:14">
      <c r="A35" t="s">
        <v>17</v>
      </c>
      <c r="B35" t="str">
        <f>VLOOKUP(A35,Restaurants!$C$5:$D$15,2,FALSE)</f>
        <v>Minetta Tavern</v>
      </c>
      <c r="C35">
        <f>(I35/60)*Model!$AD$17+IF(Model!$AD$23=1,costs!$C$55,costs!$C$56)/60*Model!$AD$17+J35*costs!$C$60+costs!$C$59+IF(Model!$AD$23=1,costs!$C$61,0)</f>
        <v>15.6</v>
      </c>
      <c r="D35">
        <f>(K35/60)*Model!$AD$17+IF(Model!$AD$23=1,costs!$C$55,costs!$C$56)/60*Model!$AD$17+L35*costs!$C$60+costs!$C$59+IF(Model!$AD$23=1,costs!$C$61,0)</f>
        <v>5.3</v>
      </c>
      <c r="E35">
        <f>(M35/60)*Model!$AD$17+IF(Model!$AD$23=1,costs!$C$55,costs!$C$56)/60*Model!$AD$17+N35*costs!$C$60+costs!$C$59+IF(Model!$AD$23=1,costs!$C$61,0)</f>
        <v>14.8</v>
      </c>
      <c r="H35" t="str">
        <f t="shared" si="0"/>
        <v>Minetta Tavern</v>
      </c>
      <c r="I35" s="39">
        <v>11</v>
      </c>
      <c r="J35" s="40">
        <v>3.3</v>
      </c>
      <c r="K35" s="39">
        <v>2</v>
      </c>
      <c r="L35" s="40">
        <v>0.4</v>
      </c>
      <c r="M35" s="39">
        <v>11</v>
      </c>
      <c r="N35" s="40">
        <v>2.9</v>
      </c>
    </row>
    <row r="36" spans="1:14">
      <c r="A36" t="s">
        <v>18</v>
      </c>
      <c r="B36" t="str">
        <f>VLOOKUP(A36,Restaurants!$C$5:$D$15,2,FALSE)</f>
        <v>West 3rd Common</v>
      </c>
      <c r="C36">
        <f>(I36/60)*Model!$AD$17+IF(Model!$AD$23=1,costs!$C$55,costs!$C$56)/60*Model!$AD$17+J36*costs!$C$60+costs!$C$59+IF(Model!$AD$23=1,costs!$C$61,0)</f>
        <v>14</v>
      </c>
      <c r="D36">
        <f>(K36/60)*Model!$AD$17+IF(Model!$AD$23=1,costs!$C$55,costs!$C$56)/60*Model!$AD$17+L36*costs!$C$60+costs!$C$59+IF(Model!$AD$23=1,costs!$C$61,0)</f>
        <v>5.2</v>
      </c>
      <c r="E36">
        <f>(M36/60)*Model!$AD$17+IF(Model!$AD$23=1,costs!$C$55,costs!$C$56)/60*Model!$AD$17+N36*costs!$C$60+costs!$C$59+IF(Model!$AD$23=1,costs!$C$61,0)</f>
        <v>15.2</v>
      </c>
      <c r="H36" t="str">
        <f t="shared" si="0"/>
        <v>West 3rd Common</v>
      </c>
      <c r="I36" s="39">
        <v>9</v>
      </c>
      <c r="J36" s="40">
        <v>3</v>
      </c>
      <c r="K36" s="39">
        <v>3</v>
      </c>
      <c r="L36" s="40">
        <v>0.1</v>
      </c>
      <c r="M36" s="39">
        <v>11</v>
      </c>
      <c r="N36" s="40">
        <v>3.1</v>
      </c>
    </row>
    <row r="37" spans="1:14">
      <c r="A37" t="s">
        <v>75</v>
      </c>
      <c r="B37" t="str">
        <f>VLOOKUP(A37,Restaurants!$C$5:$D$15,2,FALSE)</f>
        <v>Blt Burger</v>
      </c>
      <c r="C37">
        <f>(I37/60)*Model!$AD$17+IF(Model!$AD$23=1,costs!$C$55,costs!$C$56)/60*Model!$AD$17+J37*costs!$C$60+costs!$C$59+IF(Model!$AD$23=1,costs!$C$61,0)</f>
        <v>13.7</v>
      </c>
      <c r="D37">
        <f>(K37/60)*Model!$AD$17+IF(Model!$AD$23=1,costs!$C$55,costs!$C$56)/60*Model!$AD$17+L37*costs!$C$60+costs!$C$59+IF(Model!$AD$23=1,costs!$C$61,0)</f>
        <v>6.6</v>
      </c>
      <c r="E37">
        <f>(M37/60)*Model!$AD$17+IF(Model!$AD$23=1,costs!$C$55,costs!$C$56)/60*Model!$AD$17+N37*costs!$C$60+costs!$C$59+IF(Model!$AD$23=1,costs!$C$61,0)</f>
        <v>15</v>
      </c>
      <c r="H37" t="str">
        <f t="shared" si="0"/>
        <v>Blt Burger</v>
      </c>
      <c r="I37" s="39">
        <v>10</v>
      </c>
      <c r="J37" s="40">
        <v>2.6</v>
      </c>
      <c r="K37" s="39">
        <v>3</v>
      </c>
      <c r="L37" s="40">
        <v>0.8</v>
      </c>
      <c r="M37" s="39">
        <v>11</v>
      </c>
      <c r="N37" s="40">
        <v>3</v>
      </c>
    </row>
    <row r="38" spans="1:14">
      <c r="A38" t="s">
        <v>76</v>
      </c>
      <c r="B38" t="str">
        <f>VLOOKUP(A38,Restaurants!$C$5:$D$15,2,FALSE)</f>
        <v>DB Bistro Moderne</v>
      </c>
      <c r="C38">
        <f>(I38/60)*Model!$AD$17+IF(Model!$AD$23=1,costs!$C$55,costs!$C$56)/60*Model!$AD$17+J38*costs!$C$60+costs!$C$59+IF(Model!$AD$23=1,costs!$C$61,0)</f>
        <v>7.2</v>
      </c>
      <c r="D38">
        <f>(K38/60)*Model!$AD$17+IF(Model!$AD$23=1,costs!$C$55,costs!$C$56)/60*Model!$AD$17+L38*costs!$C$60+costs!$C$59+IF(Model!$AD$23=1,costs!$C$61,0)</f>
        <v>12.6</v>
      </c>
      <c r="E38">
        <f>(M38/60)*Model!$AD$17+IF(Model!$AD$23=1,costs!$C$55,costs!$C$56)/60*Model!$AD$17+N38*costs!$C$60+costs!$C$59+IF(Model!$AD$23=1,costs!$C$61,0)</f>
        <v>20.9</v>
      </c>
      <c r="H38" t="str">
        <f t="shared" si="0"/>
        <v>DB Bistro Moderne</v>
      </c>
      <c r="I38" s="39">
        <v>3</v>
      </c>
      <c r="J38" s="40">
        <v>1.1000000000000001</v>
      </c>
      <c r="K38" s="39">
        <v>9</v>
      </c>
      <c r="L38" s="40">
        <v>2.2999999999999998</v>
      </c>
      <c r="M38" s="39">
        <v>16</v>
      </c>
      <c r="N38" s="40">
        <v>4.7</v>
      </c>
    </row>
    <row r="39" spans="1:14">
      <c r="A39" s="41" t="s">
        <v>74</v>
      </c>
      <c r="B39" t="str">
        <f>VLOOKUP(A39,Restaurants!$C$5:$D$15,2,FALSE)</f>
        <v>Paul's "Da Burger Joint"</v>
      </c>
      <c r="C39">
        <f>(I39/60)*Model!$AD$17+IF(Model!$AD$23=1,costs!$C$55,costs!$C$56)/60*Model!$AD$17+J39*costs!$C$60+costs!$C$59+IF(Model!$AD$23=1,costs!$C$61,0)</f>
        <v>14.5</v>
      </c>
      <c r="D39">
        <f>(K39/60)*Model!$AD$17+IF(Model!$AD$23=1,costs!$C$55,costs!$C$56)/60*Model!$AD$17+L39*costs!$C$60+costs!$C$59+IF(Model!$AD$23=1,costs!$C$61,0)</f>
        <v>6.7</v>
      </c>
      <c r="E39">
        <f>(M39/60)*Model!$AD$17+IF(Model!$AD$23=1,costs!$C$55,costs!$C$56)/60*Model!$AD$17+N39*costs!$C$60+costs!$C$59+IF(Model!$AD$23=1,costs!$C$61,0)</f>
        <v>18.2</v>
      </c>
      <c r="H39" t="str">
        <f t="shared" si="0"/>
        <v>Paul's "Da Burger Joint"</v>
      </c>
      <c r="I39" s="39">
        <v>10</v>
      </c>
      <c r="J39" s="40">
        <v>3</v>
      </c>
      <c r="K39" s="39">
        <v>4</v>
      </c>
      <c r="L39" s="40">
        <v>0.6</v>
      </c>
      <c r="M39" s="39">
        <v>11</v>
      </c>
      <c r="N39" s="40">
        <v>4.5999999999999996</v>
      </c>
    </row>
  </sheetData>
  <phoneticPr fontId="5"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Sheet6"/>
  <dimension ref="B1:AM59"/>
  <sheetViews>
    <sheetView workbookViewId="0">
      <selection activeCell="B1" sqref="B1"/>
    </sheetView>
  </sheetViews>
  <sheetFormatPr defaultRowHeight="15"/>
  <cols>
    <col min="1" max="1" width="3.28515625" customWidth="1"/>
    <col min="2" max="2" width="31.5703125" bestFit="1" customWidth="1"/>
    <col min="3" max="8" width="12.7109375" customWidth="1"/>
    <col min="15" max="15" width="31.5703125" bestFit="1" customWidth="1"/>
    <col min="16" max="16" width="12.140625" bestFit="1" customWidth="1"/>
    <col min="17" max="17" width="12.5703125" bestFit="1" customWidth="1"/>
    <col min="18" max="18" width="31.5703125" bestFit="1" customWidth="1"/>
    <col min="19" max="19" width="22" bestFit="1" customWidth="1"/>
    <col min="20" max="20" width="9.7109375" bestFit="1" customWidth="1"/>
    <col min="21" max="21" width="14.5703125" bestFit="1" customWidth="1"/>
    <col min="22" max="22" width="14.42578125" bestFit="1" customWidth="1"/>
    <col min="23" max="23" width="18.42578125" bestFit="1" customWidth="1"/>
    <col min="24" max="24" width="10.7109375" bestFit="1" customWidth="1"/>
    <col min="25" max="25" width="17.5703125" bestFit="1" customWidth="1"/>
    <col min="26" max="26" width="17.85546875" bestFit="1" customWidth="1"/>
    <col min="28" max="28" width="31.5703125" bestFit="1" customWidth="1"/>
    <col min="29" max="29" width="12.140625" bestFit="1" customWidth="1"/>
    <col min="30" max="30" width="12.5703125" bestFit="1" customWidth="1"/>
    <col min="31" max="31" width="31.5703125" bestFit="1" customWidth="1"/>
    <col min="32" max="32" width="22" bestFit="1" customWidth="1"/>
    <col min="33" max="33" width="9.7109375" bestFit="1" customWidth="1"/>
    <col min="34" max="34" width="14.5703125" bestFit="1" customWidth="1"/>
    <col min="35" max="35" width="14.42578125" bestFit="1" customWidth="1"/>
    <col min="36" max="36" width="18.42578125" bestFit="1" customWidth="1"/>
    <col min="37" max="37" width="10.7109375" bestFit="1" customWidth="1"/>
    <col min="38" max="38" width="17.5703125" bestFit="1" customWidth="1"/>
    <col min="39" max="39" width="17.85546875" bestFit="1" customWidth="1"/>
  </cols>
  <sheetData>
    <row r="1" spans="2:13">
      <c r="B1" s="72" t="s">
        <v>131</v>
      </c>
    </row>
    <row r="2" spans="2:13">
      <c r="B2" s="16" t="s">
        <v>32</v>
      </c>
      <c r="C2" s="16"/>
      <c r="D2" s="16"/>
      <c r="E2" s="16"/>
      <c r="F2" s="16"/>
      <c r="G2" s="16"/>
      <c r="H2" s="16"/>
      <c r="I2" s="16"/>
      <c r="J2" s="16"/>
      <c r="K2" s="16"/>
      <c r="L2" s="16"/>
      <c r="M2" s="16"/>
    </row>
    <row r="3" spans="2:13">
      <c r="B3" s="14" t="s">
        <v>23</v>
      </c>
      <c r="C3" t="s">
        <v>57</v>
      </c>
      <c r="D3" t="s">
        <v>0</v>
      </c>
      <c r="E3" t="s">
        <v>12</v>
      </c>
      <c r="F3" t="s">
        <v>58</v>
      </c>
      <c r="G3" t="s">
        <v>59</v>
      </c>
      <c r="H3" t="s">
        <v>60</v>
      </c>
      <c r="I3" t="s">
        <v>13</v>
      </c>
      <c r="J3" t="s">
        <v>15</v>
      </c>
      <c r="K3" t="s">
        <v>14</v>
      </c>
      <c r="L3" t="s">
        <v>61</v>
      </c>
      <c r="M3" t="s">
        <v>62</v>
      </c>
    </row>
    <row r="4" spans="2:13">
      <c r="B4" t="s">
        <v>57</v>
      </c>
      <c r="C4" s="20">
        <f>VLOOKUP($B4,'Time-Distance-Raw'!$B$3:$W$14,MATCH(C$3,'Time-Distance-Raw'!$B$3:$W$3,0),FALSE)</f>
        <v>0</v>
      </c>
      <c r="D4">
        <f>VLOOKUP($B4,'Time-Distance-Raw'!$B$3:$W$14,MATCH(D$3,'Time-Distance-Raw'!$B$3:$W$3,0),FALSE)</f>
        <v>25</v>
      </c>
      <c r="E4">
        <f>VLOOKUP($B4,'Time-Distance-Raw'!$B$3:$W$14,MATCH(E$3,'Time-Distance-Raw'!$B$3:$W$3,0),FALSE)</f>
        <v>35</v>
      </c>
      <c r="F4">
        <f>VLOOKUP($B4,'Time-Distance-Raw'!$B$3:$W$14,MATCH(F$3,'Time-Distance-Raw'!$B$3:$W$3,0),FALSE)</f>
        <v>23</v>
      </c>
      <c r="G4">
        <f>VLOOKUP($B4,'Time-Distance-Raw'!$B$3:$W$14,MATCH(G$3,'Time-Distance-Raw'!$B$3:$W$3,0),FALSE)</f>
        <v>18</v>
      </c>
      <c r="H4">
        <f>VLOOKUP($B4,'Time-Distance-Raw'!$B$3:$W$14,MATCH(H$3,'Time-Distance-Raw'!$B$3:$W$3,0),FALSE)</f>
        <v>24</v>
      </c>
      <c r="I4">
        <f>VLOOKUP($B4,'Time-Distance-Raw'!$B$3:$W$14,MATCH(I$3,'Time-Distance-Raw'!$B$3:$W$3,0),FALSE)</f>
        <v>17</v>
      </c>
      <c r="J4">
        <f>VLOOKUP($B4,'Time-Distance-Raw'!$B$3:$W$14,MATCH(J$3,'Time-Distance-Raw'!$B$3:$W$3,0),FALSE)</f>
        <v>31</v>
      </c>
      <c r="K4">
        <f>VLOOKUP($B4,'Time-Distance-Raw'!$B$3:$W$14,MATCH(K$3,'Time-Distance-Raw'!$B$3:$W$3,0),FALSE)</f>
        <v>55</v>
      </c>
      <c r="L4">
        <f>VLOOKUP($B4,'Time-Distance-Raw'!$B$3:$W$14,MATCH(L$3,'Time-Distance-Raw'!$B$3:$W$3,0),FALSE)</f>
        <v>22</v>
      </c>
      <c r="M4">
        <f>VLOOKUP($B4,'Time-Distance-Raw'!$B$3:$W$14,MATCH(M$3,'Time-Distance-Raw'!$B$3:$W$3,0),FALSE)</f>
        <v>23</v>
      </c>
    </row>
    <row r="5" spans="2:13">
      <c r="B5" t="s">
        <v>0</v>
      </c>
      <c r="C5" s="20">
        <f>VLOOKUP($B5,'Time-Distance-Raw'!$B$3:$W$14,MATCH(C$3,'Time-Distance-Raw'!$B$3:$W$3,0),FALSE)</f>
        <v>25</v>
      </c>
      <c r="D5" s="20">
        <f>VLOOKUP($B5,'Time-Distance-Raw'!$B$3:$W$14,MATCH(D$3,'Time-Distance-Raw'!$B$3:$W$3,0),FALSE)</f>
        <v>0</v>
      </c>
      <c r="E5">
        <f>VLOOKUP($B5,'Time-Distance-Raw'!$B$3:$W$14,MATCH(E$3,'Time-Distance-Raw'!$B$3:$W$3,0),FALSE)</f>
        <v>49</v>
      </c>
      <c r="F5">
        <f>VLOOKUP($B5,'Time-Distance-Raw'!$B$3:$W$14,MATCH(F$3,'Time-Distance-Raw'!$B$3:$W$3,0),FALSE)</f>
        <v>23</v>
      </c>
      <c r="G5">
        <f>VLOOKUP($B5,'Time-Distance-Raw'!$B$3:$W$14,MATCH(G$3,'Time-Distance-Raw'!$B$3:$W$3,0),FALSE)</f>
        <v>8</v>
      </c>
      <c r="H5">
        <f>VLOOKUP($B5,'Time-Distance-Raw'!$B$3:$W$14,MATCH(H$3,'Time-Distance-Raw'!$B$3:$W$3,0),FALSE)</f>
        <v>13</v>
      </c>
      <c r="I5">
        <f>VLOOKUP($B5,'Time-Distance-Raw'!$B$3:$W$14,MATCH(I$3,'Time-Distance-Raw'!$B$3:$W$3,0),FALSE)</f>
        <v>43</v>
      </c>
      <c r="J5">
        <f>VLOOKUP($B5,'Time-Distance-Raw'!$B$3:$W$14,MATCH(J$3,'Time-Distance-Raw'!$B$3:$W$3,0),FALSE)</f>
        <v>35</v>
      </c>
      <c r="K5">
        <f>VLOOKUP($B5,'Time-Distance-Raw'!$B$3:$W$14,MATCH(K$3,'Time-Distance-Raw'!$B$3:$W$3,0),FALSE)</f>
        <v>78</v>
      </c>
      <c r="L5">
        <f>VLOOKUP($B5,'Time-Distance-Raw'!$B$3:$W$14,MATCH(L$3,'Time-Distance-Raw'!$B$3:$W$3,0),FALSE)</f>
        <v>18</v>
      </c>
      <c r="M5">
        <f>VLOOKUP($B5,'Time-Distance-Raw'!$B$3:$W$14,MATCH(M$3,'Time-Distance-Raw'!$B$3:$W$3,0),FALSE)</f>
        <v>40</v>
      </c>
    </row>
    <row r="6" spans="2:13">
      <c r="B6" t="s">
        <v>12</v>
      </c>
      <c r="C6" s="20">
        <f>VLOOKUP($B6,'Time-Distance-Raw'!$B$3:$W$14,MATCH(C$3,'Time-Distance-Raw'!$B$3:$W$3,0),FALSE)</f>
        <v>35</v>
      </c>
      <c r="D6" s="20">
        <f>VLOOKUP($B6,'Time-Distance-Raw'!$B$3:$W$14,MATCH(D$3,'Time-Distance-Raw'!$B$3:$W$3,0),FALSE)</f>
        <v>49</v>
      </c>
      <c r="E6" s="20">
        <f>VLOOKUP($B6,'Time-Distance-Raw'!$B$3:$W$14,MATCH(E$3,'Time-Distance-Raw'!$B$3:$W$3,0),FALSE)</f>
        <v>0</v>
      </c>
      <c r="F6">
        <f>VLOOKUP($B6,'Time-Distance-Raw'!$B$3:$W$14,MATCH(F$3,'Time-Distance-Raw'!$B$3:$W$3,0),FALSE)</f>
        <v>56</v>
      </c>
      <c r="G6">
        <f>VLOOKUP($B6,'Time-Distance-Raw'!$B$3:$W$14,MATCH(G$3,'Time-Distance-Raw'!$B$3:$W$3,0),FALSE)</f>
        <v>45</v>
      </c>
      <c r="H6">
        <f>VLOOKUP($B6,'Time-Distance-Raw'!$B$3:$W$14,MATCH(H$3,'Time-Distance-Raw'!$B$3:$W$3,0),FALSE)</f>
        <v>54</v>
      </c>
      <c r="I6">
        <f>VLOOKUP($B6,'Time-Distance-Raw'!$B$3:$W$14,MATCH(I$3,'Time-Distance-Raw'!$B$3:$W$3,0),FALSE)</f>
        <v>29</v>
      </c>
      <c r="J6">
        <f>VLOOKUP($B6,'Time-Distance-Raw'!$B$3:$W$14,MATCH(J$3,'Time-Distance-Raw'!$B$3:$W$3,0),FALSE)</f>
        <v>21</v>
      </c>
      <c r="K6">
        <f>VLOOKUP($B6,'Time-Distance-Raw'!$B$3:$W$14,MATCH(K$3,'Time-Distance-Raw'!$B$3:$W$3,0),FALSE)</f>
        <v>31</v>
      </c>
      <c r="L6">
        <f>VLOOKUP($B6,'Time-Distance-Raw'!$B$3:$W$14,MATCH(L$3,'Time-Distance-Raw'!$B$3:$W$3,0),FALSE)</f>
        <v>56</v>
      </c>
      <c r="M6">
        <f>VLOOKUP($B6,'Time-Distance-Raw'!$B$3:$W$14,MATCH(M$3,'Time-Distance-Raw'!$B$3:$W$3,0),FALSE)</f>
        <v>13</v>
      </c>
    </row>
    <row r="7" spans="2:13">
      <c r="B7" t="s">
        <v>58</v>
      </c>
      <c r="C7" s="20">
        <f>VLOOKUP($B7,'Time-Distance-Raw'!$B$3:$W$14,MATCH(C$3,'Time-Distance-Raw'!$B$3:$W$3,0),FALSE)</f>
        <v>23</v>
      </c>
      <c r="D7" s="20">
        <f>VLOOKUP($B7,'Time-Distance-Raw'!$B$3:$W$14,MATCH(D$3,'Time-Distance-Raw'!$B$3:$W$3,0),FALSE)</f>
        <v>23</v>
      </c>
      <c r="E7" s="20">
        <f>VLOOKUP($B7,'Time-Distance-Raw'!$B$3:$W$14,MATCH(E$3,'Time-Distance-Raw'!$B$3:$W$3,0),FALSE)</f>
        <v>56</v>
      </c>
      <c r="F7" s="20">
        <f>VLOOKUP($B7,'Time-Distance-Raw'!$B$3:$W$14,MATCH(F$3,'Time-Distance-Raw'!$B$3:$W$3,0),FALSE)</f>
        <v>0</v>
      </c>
      <c r="G7">
        <f>VLOOKUP($B7,'Time-Distance-Raw'!$B$3:$W$14,MATCH(G$3,'Time-Distance-Raw'!$B$3:$W$3,0),FALSE)</f>
        <v>18</v>
      </c>
      <c r="H7">
        <f>VLOOKUP($B7,'Time-Distance-Raw'!$B$3:$W$14,MATCH(H$3,'Time-Distance-Raw'!$B$3:$W$3,0),FALSE)</f>
        <v>17</v>
      </c>
      <c r="I7">
        <f>VLOOKUP($B7,'Time-Distance-Raw'!$B$3:$W$14,MATCH(I$3,'Time-Distance-Raw'!$B$3:$W$3,0),FALSE)</f>
        <v>34</v>
      </c>
      <c r="J7">
        <f>VLOOKUP($B7,'Time-Distance-Raw'!$B$3:$W$14,MATCH(J$3,'Time-Distance-Raw'!$B$3:$W$3,0),FALSE)</f>
        <v>52</v>
      </c>
      <c r="K7">
        <f>VLOOKUP($B7,'Time-Distance-Raw'!$B$3:$W$14,MATCH(K$3,'Time-Distance-Raw'!$B$3:$W$3,0),FALSE)</f>
        <v>68</v>
      </c>
      <c r="L7">
        <f>VLOOKUP($B7,'Time-Distance-Raw'!$B$3:$W$14,MATCH(L$3,'Time-Distance-Raw'!$B$3:$W$3,0),FALSE)</f>
        <v>11</v>
      </c>
      <c r="M7">
        <f>VLOOKUP($B7,'Time-Distance-Raw'!$B$3:$W$14,MATCH(M$3,'Time-Distance-Raw'!$B$3:$W$3,0),FALSE)</f>
        <v>45</v>
      </c>
    </row>
    <row r="8" spans="2:13">
      <c r="B8" t="s">
        <v>59</v>
      </c>
      <c r="C8" s="20">
        <f>VLOOKUP($B8,'Time-Distance-Raw'!$B$3:$W$14,MATCH(C$3,'Time-Distance-Raw'!$B$3:$W$3,0),FALSE)</f>
        <v>18</v>
      </c>
      <c r="D8" s="20">
        <f>VLOOKUP($B8,'Time-Distance-Raw'!$B$3:$W$14,MATCH(D$3,'Time-Distance-Raw'!$B$3:$W$3,0),FALSE)</f>
        <v>8</v>
      </c>
      <c r="E8" s="20">
        <f>VLOOKUP($B8,'Time-Distance-Raw'!$B$3:$W$14,MATCH(E$3,'Time-Distance-Raw'!$B$3:$W$3,0),FALSE)</f>
        <v>45</v>
      </c>
      <c r="F8" s="20">
        <f>VLOOKUP($B8,'Time-Distance-Raw'!$B$3:$W$14,MATCH(F$3,'Time-Distance-Raw'!$B$3:$W$3,0),FALSE)</f>
        <v>18</v>
      </c>
      <c r="G8" s="20">
        <f>VLOOKUP($B8,'Time-Distance-Raw'!$B$3:$W$14,MATCH(G$3,'Time-Distance-Raw'!$B$3:$W$3,0),FALSE)</f>
        <v>0</v>
      </c>
      <c r="H8">
        <f>VLOOKUP($B8,'Time-Distance-Raw'!$B$3:$W$14,MATCH(H$3,'Time-Distance-Raw'!$B$3:$W$3,0),FALSE)</f>
        <v>9</v>
      </c>
      <c r="I8">
        <f>VLOOKUP($B8,'Time-Distance-Raw'!$B$3:$W$14,MATCH(I$3,'Time-Distance-Raw'!$B$3:$W$3,0),FALSE)</f>
        <v>36</v>
      </c>
      <c r="J8">
        <f>VLOOKUP($B8,'Time-Distance-Raw'!$B$3:$W$14,MATCH(J$3,'Time-Distance-Raw'!$B$3:$W$3,0),FALSE)</f>
        <v>41</v>
      </c>
      <c r="K8">
        <f>VLOOKUP($B8,'Time-Distance-Raw'!$B$3:$W$14,MATCH(K$3,'Time-Distance-Raw'!$B$3:$W$3,0),FALSE)</f>
        <v>73</v>
      </c>
      <c r="L8">
        <f>VLOOKUP($B8,'Time-Distance-Raw'!$B$3:$W$14,MATCH(L$3,'Time-Distance-Raw'!$B$3:$W$3,0),FALSE)</f>
        <v>15</v>
      </c>
      <c r="M8">
        <f>VLOOKUP($B8,'Time-Distance-Raw'!$B$3:$W$14,MATCH(M$3,'Time-Distance-Raw'!$B$3:$W$3,0),FALSE)</f>
        <v>33</v>
      </c>
    </row>
    <row r="9" spans="2:13">
      <c r="B9" t="s">
        <v>60</v>
      </c>
      <c r="C9" s="20">
        <f>VLOOKUP($B9,'Time-Distance-Raw'!$B$3:$W$14,MATCH(C$3,'Time-Distance-Raw'!$B$3:$W$3,0),FALSE)</f>
        <v>24</v>
      </c>
      <c r="D9" s="20">
        <f>VLOOKUP($B9,'Time-Distance-Raw'!$B$3:$W$14,MATCH(D$3,'Time-Distance-Raw'!$B$3:$W$3,0),FALSE)</f>
        <v>13</v>
      </c>
      <c r="E9" s="20">
        <f>VLOOKUP($B9,'Time-Distance-Raw'!$B$3:$W$14,MATCH(E$3,'Time-Distance-Raw'!$B$3:$W$3,0),FALSE)</f>
        <v>54</v>
      </c>
      <c r="F9" s="20">
        <f>VLOOKUP($B9,'Time-Distance-Raw'!$B$3:$W$14,MATCH(F$3,'Time-Distance-Raw'!$B$3:$W$3,0),FALSE)</f>
        <v>17</v>
      </c>
      <c r="G9" s="20">
        <f>VLOOKUP($B9,'Time-Distance-Raw'!$B$3:$W$14,MATCH(G$3,'Time-Distance-Raw'!$B$3:$W$3,0),FALSE)</f>
        <v>9</v>
      </c>
      <c r="H9" s="20">
        <f>VLOOKUP($B9,'Time-Distance-Raw'!$B$3:$W$14,MATCH(H$3,'Time-Distance-Raw'!$B$3:$W$3,0),FALSE)</f>
        <v>0</v>
      </c>
      <c r="I9">
        <f>VLOOKUP($B9,'Time-Distance-Raw'!$B$3:$W$14,MATCH(I$3,'Time-Distance-Raw'!$B$3:$W$3,0),FALSE)</f>
        <v>41</v>
      </c>
      <c r="J9">
        <f>VLOOKUP($B9,'Time-Distance-Raw'!$B$3:$W$14,MATCH(J$3,'Time-Distance-Raw'!$B$3:$W$3,0),FALSE)</f>
        <v>48</v>
      </c>
      <c r="K9">
        <f>VLOOKUP($B9,'Time-Distance-Raw'!$B$3:$W$14,MATCH(K$3,'Time-Distance-Raw'!$B$3:$W$3,0),FALSE)</f>
        <v>114</v>
      </c>
      <c r="L9">
        <f>VLOOKUP($B9,'Time-Distance-Raw'!$B$3:$W$14,MATCH(L$3,'Time-Distance-Raw'!$B$3:$W$3,0),FALSE)</f>
        <v>2</v>
      </c>
      <c r="M9">
        <f>VLOOKUP($B9,'Time-Distance-Raw'!$B$3:$W$14,MATCH(M$3,'Time-Distance-Raw'!$B$3:$W$3,0),FALSE)</f>
        <v>42</v>
      </c>
    </row>
    <row r="10" spans="2:13">
      <c r="B10" t="s">
        <v>13</v>
      </c>
      <c r="C10" s="20">
        <f>VLOOKUP($B10,'Time-Distance-Raw'!$B$3:$W$14,MATCH(C$3,'Time-Distance-Raw'!$B$3:$W$3,0),FALSE)</f>
        <v>17</v>
      </c>
      <c r="D10" s="20">
        <f>VLOOKUP($B10,'Time-Distance-Raw'!$B$3:$W$14,MATCH(D$3,'Time-Distance-Raw'!$B$3:$W$3,0),FALSE)</f>
        <v>43</v>
      </c>
      <c r="E10" s="20">
        <f>VLOOKUP($B10,'Time-Distance-Raw'!$B$3:$W$14,MATCH(E$3,'Time-Distance-Raw'!$B$3:$W$3,0),FALSE)</f>
        <v>29</v>
      </c>
      <c r="F10" s="20">
        <f>VLOOKUP($B10,'Time-Distance-Raw'!$B$3:$W$14,MATCH(F$3,'Time-Distance-Raw'!$B$3:$W$3,0),FALSE)</f>
        <v>34</v>
      </c>
      <c r="G10" s="20">
        <f>VLOOKUP($B10,'Time-Distance-Raw'!$B$3:$W$14,MATCH(G$3,'Time-Distance-Raw'!$B$3:$W$3,0),FALSE)</f>
        <v>36</v>
      </c>
      <c r="H10" s="20">
        <f>VLOOKUP($B10,'Time-Distance-Raw'!$B$3:$W$14,MATCH(H$3,'Time-Distance-Raw'!$B$3:$W$3,0),FALSE)</f>
        <v>41</v>
      </c>
      <c r="I10" s="45">
        <f>VLOOKUP($B10,'Time-Distance-Raw'!$B$3:$W$14,MATCH(I$3,'Time-Distance-Raw'!$B$3:$W$3,0),FALSE)</f>
        <v>0</v>
      </c>
      <c r="J10">
        <f>VLOOKUP($B10,'Time-Distance-Raw'!$B$3:$W$14,MATCH(J$3,'Time-Distance-Raw'!$B$3:$W$3,0),FALSE)</f>
        <v>27</v>
      </c>
      <c r="K10">
        <f>VLOOKUP($B10,'Time-Distance-Raw'!$B$3:$W$14,MATCH(K$3,'Time-Distance-Raw'!$B$3:$W$3,0),FALSE)</f>
        <v>39</v>
      </c>
      <c r="L10">
        <f>VLOOKUP($B10,'Time-Distance-Raw'!$B$3:$W$14,MATCH(L$3,'Time-Distance-Raw'!$B$3:$W$3,0),FALSE)</f>
        <v>36</v>
      </c>
      <c r="M10">
        <f>VLOOKUP($B10,'Time-Distance-Raw'!$B$3:$W$14,MATCH(M$3,'Time-Distance-Raw'!$B$3:$W$3,0),FALSE)</f>
        <v>16</v>
      </c>
    </row>
    <row r="11" spans="2:13">
      <c r="B11" t="s">
        <v>15</v>
      </c>
      <c r="C11" s="20">
        <f>VLOOKUP($B11,'Time-Distance-Raw'!$B$3:$W$14,MATCH(C$3,'Time-Distance-Raw'!$B$3:$W$3,0),FALSE)</f>
        <v>31</v>
      </c>
      <c r="D11" s="20">
        <f>VLOOKUP($B11,'Time-Distance-Raw'!$B$3:$W$14,MATCH(D$3,'Time-Distance-Raw'!$B$3:$W$3,0),FALSE)</f>
        <v>35</v>
      </c>
      <c r="E11" s="20">
        <f>VLOOKUP($B11,'Time-Distance-Raw'!$B$3:$W$14,MATCH(E$3,'Time-Distance-Raw'!$B$3:$W$3,0),FALSE)</f>
        <v>21</v>
      </c>
      <c r="F11" s="20">
        <f>VLOOKUP($B11,'Time-Distance-Raw'!$B$3:$W$14,MATCH(F$3,'Time-Distance-Raw'!$B$3:$W$3,0),FALSE)</f>
        <v>52</v>
      </c>
      <c r="G11" s="20">
        <f>VLOOKUP($B11,'Time-Distance-Raw'!$B$3:$W$14,MATCH(G$3,'Time-Distance-Raw'!$B$3:$W$3,0),FALSE)</f>
        <v>41</v>
      </c>
      <c r="H11" s="20">
        <f>VLOOKUP($B11,'Time-Distance-Raw'!$B$3:$W$14,MATCH(H$3,'Time-Distance-Raw'!$B$3:$W$3,0),FALSE)</f>
        <v>48</v>
      </c>
      <c r="I11" s="45">
        <f>VLOOKUP($B11,'Time-Distance-Raw'!$B$3:$W$14,MATCH(I$3,'Time-Distance-Raw'!$B$3:$W$3,0),FALSE)</f>
        <v>27</v>
      </c>
      <c r="J11" s="45">
        <f>VLOOKUP($B11,'Time-Distance-Raw'!$B$3:$W$14,MATCH(J$3,'Time-Distance-Raw'!$B$3:$W$3,0),FALSE)</f>
        <v>0</v>
      </c>
      <c r="K11">
        <f>VLOOKUP($B11,'Time-Distance-Raw'!$B$3:$W$14,MATCH(K$3,'Time-Distance-Raw'!$B$3:$W$3,0),FALSE)</f>
        <v>49</v>
      </c>
      <c r="L11">
        <f>VLOOKUP($B11,'Time-Distance-Raw'!$B$3:$W$14,MATCH(L$3,'Time-Distance-Raw'!$B$3:$W$3,0),FALSE)</f>
        <v>51</v>
      </c>
      <c r="M11">
        <f>VLOOKUP($B11,'Time-Distance-Raw'!$B$3:$W$14,MATCH(M$3,'Time-Distance-Raw'!$B$3:$W$3,0),FALSE)</f>
        <v>12</v>
      </c>
    </row>
    <row r="12" spans="2:13">
      <c r="B12" t="s">
        <v>14</v>
      </c>
      <c r="C12" s="20">
        <f>VLOOKUP($B12,'Time-Distance-Raw'!$B$3:$W$14,MATCH(C$3,'Time-Distance-Raw'!$B$3:$W$3,0),FALSE)</f>
        <v>55</v>
      </c>
      <c r="D12" s="20">
        <f>VLOOKUP($B12,'Time-Distance-Raw'!$B$3:$W$14,MATCH(D$3,'Time-Distance-Raw'!$B$3:$W$3,0),FALSE)</f>
        <v>78</v>
      </c>
      <c r="E12" s="20">
        <f>VLOOKUP($B12,'Time-Distance-Raw'!$B$3:$W$14,MATCH(E$3,'Time-Distance-Raw'!$B$3:$W$3,0),FALSE)</f>
        <v>31</v>
      </c>
      <c r="F12" s="20">
        <f>VLOOKUP($B12,'Time-Distance-Raw'!$B$3:$W$14,MATCH(F$3,'Time-Distance-Raw'!$B$3:$W$3,0),FALSE)</f>
        <v>68</v>
      </c>
      <c r="G12" s="20">
        <f>VLOOKUP($B12,'Time-Distance-Raw'!$B$3:$W$14,MATCH(G$3,'Time-Distance-Raw'!$B$3:$W$3,0),FALSE)</f>
        <v>73</v>
      </c>
      <c r="H12" s="20">
        <f>VLOOKUP($B12,'Time-Distance-Raw'!$B$3:$W$14,MATCH(H$3,'Time-Distance-Raw'!$B$3:$W$3,0),FALSE)</f>
        <v>114</v>
      </c>
      <c r="I12" s="45">
        <f>VLOOKUP($B12,'Time-Distance-Raw'!$B$3:$W$14,MATCH(I$3,'Time-Distance-Raw'!$B$3:$W$3,0),FALSE)</f>
        <v>39</v>
      </c>
      <c r="J12" s="45">
        <f>VLOOKUP($B12,'Time-Distance-Raw'!$B$3:$W$14,MATCH(J$3,'Time-Distance-Raw'!$B$3:$W$3,0),FALSE)</f>
        <v>49</v>
      </c>
      <c r="K12" s="45">
        <f>VLOOKUP($B12,'Time-Distance-Raw'!$B$3:$W$14,MATCH(K$3,'Time-Distance-Raw'!$B$3:$W$3,0),FALSE)</f>
        <v>0</v>
      </c>
      <c r="L12">
        <f>VLOOKUP($B12,'Time-Distance-Raw'!$B$3:$W$14,MATCH(L$3,'Time-Distance-Raw'!$B$3:$W$3,0),FALSE)</f>
        <v>73</v>
      </c>
      <c r="M12">
        <f>VLOOKUP($B12,'Time-Distance-Raw'!$B$3:$W$14,MATCH(M$3,'Time-Distance-Raw'!$B$3:$W$3,0),FALSE)</f>
        <v>40</v>
      </c>
    </row>
    <row r="13" spans="2:13">
      <c r="B13" t="s">
        <v>61</v>
      </c>
      <c r="C13" s="20">
        <f>VLOOKUP($B13,'Time-Distance-Raw'!$B$3:$W$14,MATCH(C$3,'Time-Distance-Raw'!$B$3:$W$3,0),FALSE)</f>
        <v>22</v>
      </c>
      <c r="D13" s="20">
        <f>VLOOKUP($B13,'Time-Distance-Raw'!$B$3:$W$14,MATCH(D$3,'Time-Distance-Raw'!$B$3:$W$3,0),FALSE)</f>
        <v>18</v>
      </c>
      <c r="E13" s="20">
        <f>VLOOKUP($B13,'Time-Distance-Raw'!$B$3:$W$14,MATCH(E$3,'Time-Distance-Raw'!$B$3:$W$3,0),FALSE)</f>
        <v>56</v>
      </c>
      <c r="F13" s="20">
        <f>VLOOKUP($B13,'Time-Distance-Raw'!$B$3:$W$14,MATCH(F$3,'Time-Distance-Raw'!$B$3:$W$3,0),FALSE)</f>
        <v>11</v>
      </c>
      <c r="G13" s="20">
        <f>VLOOKUP($B13,'Time-Distance-Raw'!$B$3:$W$14,MATCH(G$3,'Time-Distance-Raw'!$B$3:$W$3,0),FALSE)</f>
        <v>15</v>
      </c>
      <c r="H13" s="20">
        <f>VLOOKUP($B13,'Time-Distance-Raw'!$B$3:$W$14,MATCH(H$3,'Time-Distance-Raw'!$B$3:$W$3,0),FALSE)</f>
        <v>2</v>
      </c>
      <c r="I13" s="45">
        <f>VLOOKUP($B13,'Time-Distance-Raw'!$B$3:$W$14,MATCH(I$3,'Time-Distance-Raw'!$B$3:$W$3,0),FALSE)</f>
        <v>36</v>
      </c>
      <c r="J13" s="45">
        <f>VLOOKUP($B13,'Time-Distance-Raw'!$B$3:$W$14,MATCH(J$3,'Time-Distance-Raw'!$B$3:$W$3,0),FALSE)</f>
        <v>51</v>
      </c>
      <c r="K13" s="45">
        <f>VLOOKUP($B13,'Time-Distance-Raw'!$B$3:$W$14,MATCH(K$3,'Time-Distance-Raw'!$B$3:$W$3,0),FALSE)</f>
        <v>73</v>
      </c>
      <c r="L13" s="45">
        <f>VLOOKUP($B13,'Time-Distance-Raw'!$B$3:$W$14,MATCH(L$3,'Time-Distance-Raw'!$B$3:$W$3,0),FALSE)</f>
        <v>0</v>
      </c>
      <c r="M13">
        <f>VLOOKUP($B13,'Time-Distance-Raw'!$B$3:$W$14,MATCH(M$3,'Time-Distance-Raw'!$B$3:$W$3,0),FALSE)</f>
        <v>44</v>
      </c>
    </row>
    <row r="14" spans="2:13">
      <c r="B14" t="s">
        <v>62</v>
      </c>
      <c r="C14" s="20">
        <f>VLOOKUP($B14,'Time-Distance-Raw'!$B$3:$W$14,MATCH(C$3,'Time-Distance-Raw'!$B$3:$W$3,0),FALSE)</f>
        <v>23</v>
      </c>
      <c r="D14" s="20">
        <f>VLOOKUP($B14,'Time-Distance-Raw'!$B$3:$W$14,MATCH(D$3,'Time-Distance-Raw'!$B$3:$W$3,0),FALSE)</f>
        <v>40</v>
      </c>
      <c r="E14" s="20">
        <f>VLOOKUP($B14,'Time-Distance-Raw'!$B$3:$W$14,MATCH(E$3,'Time-Distance-Raw'!$B$3:$W$3,0),FALSE)</f>
        <v>13</v>
      </c>
      <c r="F14" s="20">
        <f>VLOOKUP($B14,'Time-Distance-Raw'!$B$3:$W$14,MATCH(F$3,'Time-Distance-Raw'!$B$3:$W$3,0),FALSE)</f>
        <v>45</v>
      </c>
      <c r="G14" s="20">
        <f>VLOOKUP($B14,'Time-Distance-Raw'!$B$3:$W$14,MATCH(G$3,'Time-Distance-Raw'!$B$3:$W$3,0),FALSE)</f>
        <v>33</v>
      </c>
      <c r="H14" s="20">
        <f>VLOOKUP($B14,'Time-Distance-Raw'!$B$3:$W$14,MATCH(H$3,'Time-Distance-Raw'!$B$3:$W$3,0),FALSE)</f>
        <v>42</v>
      </c>
      <c r="I14" s="45">
        <f>VLOOKUP($B14,'Time-Distance-Raw'!$B$3:$W$14,MATCH(I$3,'Time-Distance-Raw'!$B$3:$W$3,0),FALSE)</f>
        <v>16</v>
      </c>
      <c r="J14" s="45">
        <f>VLOOKUP($B14,'Time-Distance-Raw'!$B$3:$W$14,MATCH(J$3,'Time-Distance-Raw'!$B$3:$W$3,0),FALSE)</f>
        <v>12</v>
      </c>
      <c r="K14" s="45">
        <f>VLOOKUP($B14,'Time-Distance-Raw'!$B$3:$W$14,MATCH(K$3,'Time-Distance-Raw'!$B$3:$W$3,0),FALSE)</f>
        <v>40</v>
      </c>
      <c r="L14" s="45">
        <f>VLOOKUP($B14,'Time-Distance-Raw'!$B$3:$W$14,MATCH(L$3,'Time-Distance-Raw'!$B$3:$W$3,0),FALSE)</f>
        <v>44</v>
      </c>
      <c r="M14" s="45">
        <f>VLOOKUP($B14,'Time-Distance-Raw'!$B$3:$W$14,MATCH(M$3,'Time-Distance-Raw'!$B$3:$W$3,0),FALSE)</f>
        <v>0</v>
      </c>
    </row>
    <row r="15" spans="2:13">
      <c r="C15" s="41"/>
      <c r="D15" s="41"/>
      <c r="E15" s="41"/>
      <c r="F15" s="41"/>
      <c r="G15" s="41"/>
      <c r="H15" s="41"/>
      <c r="I15" s="41"/>
      <c r="J15" s="41"/>
      <c r="K15" s="41"/>
      <c r="L15" s="41"/>
      <c r="M15" s="41"/>
    </row>
    <row r="17" spans="2:39">
      <c r="B17" s="14" t="s">
        <v>102</v>
      </c>
      <c r="C17" t="s">
        <v>57</v>
      </c>
      <c r="D17" t="s">
        <v>0</v>
      </c>
      <c r="E17" t="s">
        <v>12</v>
      </c>
      <c r="F17" t="s">
        <v>58</v>
      </c>
      <c r="G17" t="s">
        <v>59</v>
      </c>
      <c r="H17" t="s">
        <v>60</v>
      </c>
      <c r="I17" t="s">
        <v>13</v>
      </c>
      <c r="J17" t="s">
        <v>15</v>
      </c>
      <c r="K17" t="s">
        <v>14</v>
      </c>
      <c r="L17" t="s">
        <v>61</v>
      </c>
      <c r="M17" t="s">
        <v>62</v>
      </c>
      <c r="O17" s="14" t="s">
        <v>93</v>
      </c>
      <c r="P17" t="s">
        <v>57</v>
      </c>
      <c r="Q17" t="s">
        <v>0</v>
      </c>
      <c r="R17" t="s">
        <v>12</v>
      </c>
      <c r="S17" t="s">
        <v>58</v>
      </c>
      <c r="T17" t="s">
        <v>59</v>
      </c>
      <c r="U17" t="s">
        <v>60</v>
      </c>
      <c r="V17" t="s">
        <v>13</v>
      </c>
      <c r="W17" t="s">
        <v>15</v>
      </c>
      <c r="X17" t="s">
        <v>14</v>
      </c>
      <c r="Y17" t="s">
        <v>61</v>
      </c>
      <c r="Z17" t="s">
        <v>62</v>
      </c>
    </row>
    <row r="18" spans="2:39">
      <c r="B18" t="s">
        <v>57</v>
      </c>
      <c r="C18" s="20">
        <f>VLOOKUP($B18,'Time-Distance-Raw'!$B$17:$X$28,MATCH(C$17,'Time-Distance-Raw'!$B$17:$X$17,0),FALSE)</f>
        <v>0</v>
      </c>
      <c r="D18">
        <f>VLOOKUP($B18,'Time-Distance-Raw'!$B$17:$X$28,MATCH(D$17,'Time-Distance-Raw'!$B$17:$X$17,0),FALSE)</f>
        <v>19</v>
      </c>
      <c r="E18">
        <f>VLOOKUP($B18,'Time-Distance-Raw'!$B$17:$X$28,MATCH(E$17,'Time-Distance-Raw'!$B$17:$X$17,0),FALSE)</f>
        <v>12</v>
      </c>
      <c r="F18">
        <f>VLOOKUP($B18,'Time-Distance-Raw'!$B$17:$X$28,MATCH(F$17,'Time-Distance-Raw'!$B$17:$X$17,0),FALSE)</f>
        <v>11</v>
      </c>
      <c r="G18">
        <f>VLOOKUP($B18,'Time-Distance-Raw'!$B$17:$X$28,MATCH(G$17,'Time-Distance-Raw'!$B$17:$X$17,0),FALSE)</f>
        <v>8</v>
      </c>
      <c r="H18">
        <f>VLOOKUP($B18,'Time-Distance-Raw'!$B$17:$X$28,MATCH(H$17,'Time-Distance-Raw'!$B$17:$X$17,0),FALSE)</f>
        <v>13</v>
      </c>
      <c r="I18">
        <f>VLOOKUP($B18,'Time-Distance-Raw'!$B$17:$X$28,MATCH(I$17,'Time-Distance-Raw'!$B$17:$X$17,0),FALSE)</f>
        <v>13</v>
      </c>
      <c r="J18">
        <f>VLOOKUP($B18,'Time-Distance-Raw'!$B$17:$X$28,MATCH(J$17,'Time-Distance-Raw'!$B$17:$X$17,0),FALSE)</f>
        <v>18</v>
      </c>
      <c r="K18">
        <f>VLOOKUP($B18,'Time-Distance-Raw'!$B$17:$X$28,MATCH(K$17,'Time-Distance-Raw'!$B$17:$X$17,0),FALSE)</f>
        <v>18</v>
      </c>
      <c r="L18">
        <f>VLOOKUP($B18,'Time-Distance-Raw'!$B$17:$X$28,MATCH(L$17,'Time-Distance-Raw'!$B$17:$X$17,0),FALSE)</f>
        <v>10</v>
      </c>
      <c r="M18">
        <f>VLOOKUP($B18,'Time-Distance-Raw'!$B$17:$X$28,MATCH(M$17,'Time-Distance-Raw'!$B$17:$X$17,0),FALSE)</f>
        <v>13</v>
      </c>
      <c r="O18" t="s">
        <v>57</v>
      </c>
      <c r="P18" s="20">
        <f>VLOOKUP($B18,'Time-Distance-Raw'!$B$17:$X$28,MATCH(P$17,'Time-Distance-Raw'!$B$17:$X$17,0)+1,FALSE)</f>
        <v>0</v>
      </c>
      <c r="Q18">
        <f>VLOOKUP($B18,'Time-Distance-Raw'!$B$17:$X$28,MATCH(Q$17,'Time-Distance-Raw'!$B$17:$X$17,0)+1,FALSE)</f>
        <v>2</v>
      </c>
      <c r="R18">
        <f>VLOOKUP($B18,'Time-Distance-Raw'!$B$17:$X$28,MATCH(R$17,'Time-Distance-Raw'!$B$17:$X$17,0)+1,FALSE)</f>
        <v>1</v>
      </c>
      <c r="S18">
        <f>VLOOKUP($B18,'Time-Distance-Raw'!$B$17:$X$28,MATCH(S$17,'Time-Distance-Raw'!$B$17:$X$17,0)+1,FALSE)</f>
        <v>1</v>
      </c>
      <c r="T18">
        <f>VLOOKUP($B18,'Time-Distance-Raw'!$B$17:$X$28,MATCH(T$17,'Time-Distance-Raw'!$B$17:$X$17,0)+1,FALSE)</f>
        <v>1</v>
      </c>
      <c r="U18">
        <f>VLOOKUP($B18,'Time-Distance-Raw'!$B$17:$X$28,MATCH(U$17,'Time-Distance-Raw'!$B$17:$X$17,0)+1,FALSE)</f>
        <v>1</v>
      </c>
      <c r="V18">
        <f>VLOOKUP($B18,'Time-Distance-Raw'!$B$17:$X$28,MATCH(V$17,'Time-Distance-Raw'!$B$17:$X$17,0)+1,FALSE)</f>
        <v>1</v>
      </c>
      <c r="W18">
        <f>VLOOKUP($B18,'Time-Distance-Raw'!$B$17:$X$28,MATCH(W$17,'Time-Distance-Raw'!$B$17:$X$17,0)+1,FALSE)</f>
        <v>1</v>
      </c>
      <c r="X18">
        <f>VLOOKUP($B18,'Time-Distance-Raw'!$B$17:$X$28,MATCH(X$17,'Time-Distance-Raw'!$B$17:$X$17,0)+1,FALSE)</f>
        <v>1</v>
      </c>
      <c r="Y18">
        <f>VLOOKUP($B18,'Time-Distance-Raw'!$B$17:$X$28,MATCH(Y$17,'Time-Distance-Raw'!$B$17:$X$17,0)+1,FALSE)</f>
        <v>1</v>
      </c>
      <c r="Z18">
        <f>VLOOKUP($B18,'Time-Distance-Raw'!$B$17:$X$28,MATCH(Z$17,'Time-Distance-Raw'!$B$17:$X$17,0)+1,FALSE)</f>
        <v>1</v>
      </c>
    </row>
    <row r="19" spans="2:39">
      <c r="B19" t="s">
        <v>0</v>
      </c>
      <c r="C19" s="20">
        <f>VLOOKUP($B19,'Time-Distance-Raw'!$B$17:$X$28,MATCH(C$17,'Time-Distance-Raw'!$B$17:$X$17,0),FALSE)</f>
        <v>19</v>
      </c>
      <c r="D19" s="20">
        <f>VLOOKUP($B19,'Time-Distance-Raw'!$B$17:$X$28,MATCH(D$17,'Time-Distance-Raw'!$B$17:$X$17,0),FALSE)</f>
        <v>0</v>
      </c>
      <c r="E19">
        <f>VLOOKUP($B19,'Time-Distance-Raw'!$B$17:$X$28,MATCH(E$17,'Time-Distance-Raw'!$B$17:$X$17,0),FALSE)</f>
        <v>17</v>
      </c>
      <c r="F19">
        <f>VLOOKUP($B19,'Time-Distance-Raw'!$B$17:$X$28,MATCH(F$17,'Time-Distance-Raw'!$B$17:$X$17,0),FALSE)</f>
        <v>18</v>
      </c>
      <c r="G19">
        <f>VLOOKUP($B19,'Time-Distance-Raw'!$B$17:$X$28,MATCH(G$17,'Time-Distance-Raw'!$B$17:$X$17,0),FALSE)</f>
        <v>7</v>
      </c>
      <c r="H19">
        <f>VLOOKUP($B19,'Time-Distance-Raw'!$B$17:$X$28,MATCH(H$17,'Time-Distance-Raw'!$B$17:$X$17,0),FALSE)</f>
        <v>10</v>
      </c>
      <c r="I19">
        <f>VLOOKUP($B19,'Time-Distance-Raw'!$B$17:$X$28,MATCH(I$17,'Time-Distance-Raw'!$B$17:$X$17,0),FALSE)</f>
        <v>20</v>
      </c>
      <c r="J19">
        <f>VLOOKUP($B19,'Time-Distance-Raw'!$B$17:$X$28,MATCH(J$17,'Time-Distance-Raw'!$B$17:$X$17,0),FALSE)</f>
        <v>14</v>
      </c>
      <c r="K19">
        <f>VLOOKUP($B19,'Time-Distance-Raw'!$B$17:$X$28,MATCH(K$17,'Time-Distance-Raw'!$B$17:$X$17,0),FALSE)</f>
        <v>27</v>
      </c>
      <c r="L19">
        <f>VLOOKUP($B19,'Time-Distance-Raw'!$B$17:$X$28,MATCH(L$17,'Time-Distance-Raw'!$B$17:$X$17,0),FALSE)</f>
        <v>16</v>
      </c>
      <c r="M19">
        <f>VLOOKUP($B19,'Time-Distance-Raw'!$B$17:$X$28,MATCH(M$17,'Time-Distance-Raw'!$B$17:$X$17,0),FALSE)</f>
        <v>16</v>
      </c>
      <c r="O19" t="s">
        <v>0</v>
      </c>
      <c r="P19" s="20">
        <f>VLOOKUP($B19,'Time-Distance-Raw'!$B$17:$X$28,MATCH(P$17,'Time-Distance-Raw'!$B$17:$X$17,0)+1,FALSE)</f>
        <v>2</v>
      </c>
      <c r="Q19" s="20">
        <f>VLOOKUP($B19,'Time-Distance-Raw'!$B$17:$X$28,MATCH(Q$17,'Time-Distance-Raw'!$B$17:$X$17,0)+1,FALSE)</f>
        <v>0</v>
      </c>
      <c r="R19">
        <f>VLOOKUP($B19,'Time-Distance-Raw'!$B$17:$X$28,MATCH(R$17,'Time-Distance-Raw'!$B$17:$X$17,0)+1,FALSE)</f>
        <v>1</v>
      </c>
      <c r="S19">
        <f>VLOOKUP($B19,'Time-Distance-Raw'!$B$17:$X$28,MATCH(S$17,'Time-Distance-Raw'!$B$17:$X$17,0)+1,FALSE)</f>
        <v>1</v>
      </c>
      <c r="T19">
        <f>VLOOKUP($B19,'Time-Distance-Raw'!$B$17:$X$28,MATCH(T$17,'Time-Distance-Raw'!$B$17:$X$17,0)+1,FALSE)</f>
        <v>1</v>
      </c>
      <c r="U19">
        <f>VLOOKUP($B19,'Time-Distance-Raw'!$B$17:$X$28,MATCH(U$17,'Time-Distance-Raw'!$B$17:$X$17,0)+1,FALSE)</f>
        <v>1</v>
      </c>
      <c r="V19">
        <f>VLOOKUP($B19,'Time-Distance-Raw'!$B$17:$X$28,MATCH(V$17,'Time-Distance-Raw'!$B$17:$X$17,0)+1,FALSE)</f>
        <v>2</v>
      </c>
      <c r="W19">
        <f>VLOOKUP($B19,'Time-Distance-Raw'!$B$17:$X$28,MATCH(W$17,'Time-Distance-Raw'!$B$17:$X$17,0)+1,FALSE)</f>
        <v>1</v>
      </c>
      <c r="X19">
        <f>VLOOKUP($B19,'Time-Distance-Raw'!$B$17:$X$28,MATCH(X$17,'Time-Distance-Raw'!$B$17:$X$17,0)+1,FALSE)</f>
        <v>2</v>
      </c>
      <c r="Y19">
        <f>VLOOKUP($B19,'Time-Distance-Raw'!$B$17:$X$28,MATCH(Y$17,'Time-Distance-Raw'!$B$17:$X$17,0)+1,FALSE)</f>
        <v>2</v>
      </c>
      <c r="Z19">
        <f>VLOOKUP($B19,'Time-Distance-Raw'!$B$17:$X$28,MATCH(Z$17,'Time-Distance-Raw'!$B$17:$X$17,0)+1,FALSE)</f>
        <v>2</v>
      </c>
    </row>
    <row r="20" spans="2:39">
      <c r="B20" t="s">
        <v>12</v>
      </c>
      <c r="C20" s="20">
        <f>VLOOKUP($B20,'Time-Distance-Raw'!$B$17:$X$28,MATCH(C$17,'Time-Distance-Raw'!$B$17:$X$17,0),FALSE)</f>
        <v>12</v>
      </c>
      <c r="D20" s="20">
        <f>VLOOKUP($B20,'Time-Distance-Raw'!$B$17:$X$28,MATCH(D$17,'Time-Distance-Raw'!$B$17:$X$17,0),FALSE)</f>
        <v>17</v>
      </c>
      <c r="E20" s="20">
        <f>VLOOKUP($B20,'Time-Distance-Raw'!$B$17:$X$28,MATCH(E$17,'Time-Distance-Raw'!$B$17:$X$17,0),FALSE)</f>
        <v>0</v>
      </c>
      <c r="F20">
        <f>VLOOKUP($B20,'Time-Distance-Raw'!$B$17:$X$28,MATCH(F$17,'Time-Distance-Raw'!$B$17:$X$17,0),FALSE)</f>
        <v>22</v>
      </c>
      <c r="G20">
        <f>VLOOKUP($B20,'Time-Distance-Raw'!$B$17:$X$28,MATCH(G$17,'Time-Distance-Raw'!$B$17:$X$17,0),FALSE)</f>
        <v>13</v>
      </c>
      <c r="H20">
        <f>VLOOKUP($B20,'Time-Distance-Raw'!$B$17:$X$28,MATCH(H$17,'Time-Distance-Raw'!$B$17:$X$17,0),FALSE)</f>
        <v>14</v>
      </c>
      <c r="I20">
        <f>VLOOKUP($B20,'Time-Distance-Raw'!$B$17:$X$28,MATCH(I$17,'Time-Distance-Raw'!$B$17:$X$17,0),FALSE)</f>
        <v>18</v>
      </c>
      <c r="J20">
        <f>VLOOKUP($B20,'Time-Distance-Raw'!$B$17:$X$28,MATCH(J$17,'Time-Distance-Raw'!$B$17:$X$17,0),FALSE)</f>
        <v>14</v>
      </c>
      <c r="K20">
        <f>VLOOKUP($B20,'Time-Distance-Raw'!$B$17:$X$28,MATCH(K$17,'Time-Distance-Raw'!$B$17:$X$17,0),FALSE)</f>
        <v>16</v>
      </c>
      <c r="L20">
        <f>VLOOKUP($B20,'Time-Distance-Raw'!$B$17:$X$28,MATCH(L$17,'Time-Distance-Raw'!$B$17:$X$17,0),FALSE)</f>
        <v>17</v>
      </c>
      <c r="M20">
        <f>VLOOKUP($B20,'Time-Distance-Raw'!$B$17:$X$28,MATCH(M$17,'Time-Distance-Raw'!$B$17:$X$17,0),FALSE)</f>
        <v>7</v>
      </c>
      <c r="O20" t="s">
        <v>12</v>
      </c>
      <c r="P20" s="20">
        <f>VLOOKUP($B20,'Time-Distance-Raw'!$B$17:$X$28,MATCH(P$17,'Time-Distance-Raw'!$B$17:$X$17,0)+1,FALSE)</f>
        <v>1</v>
      </c>
      <c r="Q20" s="20">
        <f>VLOOKUP($B20,'Time-Distance-Raw'!$B$17:$X$28,MATCH(Q$17,'Time-Distance-Raw'!$B$17:$X$17,0)+1,FALSE)</f>
        <v>1</v>
      </c>
      <c r="R20" s="20">
        <f>VLOOKUP($B20,'Time-Distance-Raw'!$B$17:$X$28,MATCH(R$17,'Time-Distance-Raw'!$B$17:$X$17,0)+1,FALSE)</f>
        <v>0</v>
      </c>
      <c r="S20">
        <f>VLOOKUP($B20,'Time-Distance-Raw'!$B$17:$X$28,MATCH(S$17,'Time-Distance-Raw'!$B$17:$X$17,0)+1,FALSE)</f>
        <v>2</v>
      </c>
      <c r="T20">
        <f>VLOOKUP($B20,'Time-Distance-Raw'!$B$17:$X$28,MATCH(T$17,'Time-Distance-Raw'!$B$17:$X$17,0)+1,FALSE)</f>
        <v>1</v>
      </c>
      <c r="U20">
        <f>VLOOKUP($B20,'Time-Distance-Raw'!$B$17:$X$28,MATCH(U$17,'Time-Distance-Raw'!$B$17:$X$17,0)+1,FALSE)</f>
        <v>1</v>
      </c>
      <c r="V20">
        <f>VLOOKUP($B20,'Time-Distance-Raw'!$B$17:$X$28,MATCH(V$17,'Time-Distance-Raw'!$B$17:$X$17,0)+1,FALSE)</f>
        <v>2</v>
      </c>
      <c r="W20">
        <f>VLOOKUP($B20,'Time-Distance-Raw'!$B$17:$X$28,MATCH(W$17,'Time-Distance-Raw'!$B$17:$X$17,0)+1,FALSE)</f>
        <v>1</v>
      </c>
      <c r="X20">
        <f>VLOOKUP($B20,'Time-Distance-Raw'!$B$17:$X$28,MATCH(X$17,'Time-Distance-Raw'!$B$17:$X$17,0)+1,FALSE)</f>
        <v>1</v>
      </c>
      <c r="Y20">
        <f>VLOOKUP($B20,'Time-Distance-Raw'!$B$17:$X$28,MATCH(Y$17,'Time-Distance-Raw'!$B$17:$X$17,0)+1,FALSE)</f>
        <v>1</v>
      </c>
      <c r="Z20">
        <f>VLOOKUP($B20,'Time-Distance-Raw'!$B$17:$X$28,MATCH(Z$17,'Time-Distance-Raw'!$B$17:$X$17,0)+1,FALSE)</f>
        <v>1</v>
      </c>
    </row>
    <row r="21" spans="2:39">
      <c r="B21" t="s">
        <v>58</v>
      </c>
      <c r="C21" s="20">
        <f>VLOOKUP($B21,'Time-Distance-Raw'!$B$17:$X$28,MATCH(C$17,'Time-Distance-Raw'!$B$17:$X$17,0),FALSE)</f>
        <v>11</v>
      </c>
      <c r="D21" s="20">
        <f>VLOOKUP($B21,'Time-Distance-Raw'!$B$17:$X$28,MATCH(D$17,'Time-Distance-Raw'!$B$17:$X$17,0),FALSE)</f>
        <v>18</v>
      </c>
      <c r="E21" s="20">
        <f>VLOOKUP($B21,'Time-Distance-Raw'!$B$17:$X$28,MATCH(E$17,'Time-Distance-Raw'!$B$17:$X$17,0),FALSE)</f>
        <v>22</v>
      </c>
      <c r="F21" s="20">
        <f>VLOOKUP($B21,'Time-Distance-Raw'!$B$17:$X$28,MATCH(F$17,'Time-Distance-Raw'!$B$17:$X$17,0),FALSE)</f>
        <v>0</v>
      </c>
      <c r="G21">
        <f>VLOOKUP($B21,'Time-Distance-Raw'!$B$17:$X$28,MATCH(G$17,'Time-Distance-Raw'!$B$17:$X$17,0),FALSE)</f>
        <v>13</v>
      </c>
      <c r="H21">
        <f>VLOOKUP($B21,'Time-Distance-Raw'!$B$17:$X$28,MATCH(H$17,'Time-Distance-Raw'!$B$17:$X$17,0),FALSE)</f>
        <v>16</v>
      </c>
      <c r="I21">
        <f>VLOOKUP($B21,'Time-Distance-Raw'!$B$17:$X$28,MATCH(I$17,'Time-Distance-Raw'!$B$17:$X$17,0),FALSE)</f>
        <v>22</v>
      </c>
      <c r="J21">
        <f>VLOOKUP($B21,'Time-Distance-Raw'!$B$17:$X$28,MATCH(J$17,'Time-Distance-Raw'!$B$17:$X$17,0),FALSE)</f>
        <v>26</v>
      </c>
      <c r="K21">
        <f>VLOOKUP($B21,'Time-Distance-Raw'!$B$17:$X$28,MATCH(K$17,'Time-Distance-Raw'!$B$17:$X$17,0),FALSE)</f>
        <v>22</v>
      </c>
      <c r="L21">
        <f>VLOOKUP($B21,'Time-Distance-Raw'!$B$17:$X$28,MATCH(L$17,'Time-Distance-Raw'!$B$17:$X$17,0),FALSE)</f>
        <v>12</v>
      </c>
      <c r="M21">
        <f>VLOOKUP($B21,'Time-Distance-Raw'!$B$17:$X$28,MATCH(M$17,'Time-Distance-Raw'!$B$17:$X$17,0),FALSE)</f>
        <v>22</v>
      </c>
      <c r="O21" t="s">
        <v>58</v>
      </c>
      <c r="P21" s="20">
        <f>VLOOKUP($B21,'Time-Distance-Raw'!$B$17:$X$28,MATCH(P$17,'Time-Distance-Raw'!$B$17:$X$17,0)+1,FALSE)</f>
        <v>1</v>
      </c>
      <c r="Q21" s="20">
        <f>VLOOKUP($B21,'Time-Distance-Raw'!$B$17:$X$28,MATCH(Q$17,'Time-Distance-Raw'!$B$17:$X$17,0)+1,FALSE)</f>
        <v>1</v>
      </c>
      <c r="R21" s="20">
        <f>VLOOKUP($B21,'Time-Distance-Raw'!$B$17:$X$28,MATCH(R$17,'Time-Distance-Raw'!$B$17:$X$17,0)+1,FALSE)</f>
        <v>2</v>
      </c>
      <c r="S21" s="20">
        <f>VLOOKUP($B21,'Time-Distance-Raw'!$B$17:$X$28,MATCH(S$17,'Time-Distance-Raw'!$B$17:$X$17,0)+1,FALSE)</f>
        <v>0</v>
      </c>
      <c r="T21">
        <f>VLOOKUP($B21,'Time-Distance-Raw'!$B$17:$X$28,MATCH(T$17,'Time-Distance-Raw'!$B$17:$X$17,0)+1,FALSE)</f>
        <v>1</v>
      </c>
      <c r="U21">
        <f>VLOOKUP($B21,'Time-Distance-Raw'!$B$17:$X$28,MATCH(U$17,'Time-Distance-Raw'!$B$17:$X$17,0)+1,FALSE)</f>
        <v>1</v>
      </c>
      <c r="V21">
        <f>VLOOKUP($B21,'Time-Distance-Raw'!$B$17:$X$28,MATCH(V$17,'Time-Distance-Raw'!$B$17:$X$17,0)+1,FALSE)</f>
        <v>1</v>
      </c>
      <c r="W21">
        <f>VLOOKUP($B21,'Time-Distance-Raw'!$B$17:$X$28,MATCH(W$17,'Time-Distance-Raw'!$B$17:$X$17,0)+1,FALSE)</f>
        <v>2</v>
      </c>
      <c r="X21">
        <f>VLOOKUP($B21,'Time-Distance-Raw'!$B$17:$X$28,MATCH(X$17,'Time-Distance-Raw'!$B$17:$X$17,0)+1,FALSE)</f>
        <v>1</v>
      </c>
      <c r="Y21">
        <f>VLOOKUP($B21,'Time-Distance-Raw'!$B$17:$X$28,MATCH(Y$17,'Time-Distance-Raw'!$B$17:$X$17,0)+1,FALSE)</f>
        <v>1</v>
      </c>
      <c r="Z21">
        <f>VLOOKUP($B21,'Time-Distance-Raw'!$B$17:$X$28,MATCH(Z$17,'Time-Distance-Raw'!$B$17:$X$17,0)+1,FALSE)</f>
        <v>2</v>
      </c>
    </row>
    <row r="22" spans="2:39">
      <c r="B22" t="s">
        <v>59</v>
      </c>
      <c r="C22" s="20">
        <f>VLOOKUP($B22,'Time-Distance-Raw'!$B$17:$X$28,MATCH(C$17,'Time-Distance-Raw'!$B$17:$X$17,0),FALSE)</f>
        <v>8</v>
      </c>
      <c r="D22" s="20">
        <f>VLOOKUP($B22,'Time-Distance-Raw'!$B$17:$X$28,MATCH(D$17,'Time-Distance-Raw'!$B$17:$X$17,0),FALSE)</f>
        <v>7</v>
      </c>
      <c r="E22" s="20">
        <f>VLOOKUP($B22,'Time-Distance-Raw'!$B$17:$X$28,MATCH(E$17,'Time-Distance-Raw'!$B$17:$X$17,0),FALSE)</f>
        <v>13</v>
      </c>
      <c r="F22" s="20">
        <f>VLOOKUP($B22,'Time-Distance-Raw'!$B$17:$X$28,MATCH(F$17,'Time-Distance-Raw'!$B$17:$X$17,0),FALSE)</f>
        <v>13</v>
      </c>
      <c r="G22" s="20">
        <f>VLOOKUP($B22,'Time-Distance-Raw'!$B$17:$X$28,MATCH(G$17,'Time-Distance-Raw'!$B$17:$X$17,0),FALSE)</f>
        <v>0</v>
      </c>
      <c r="H22">
        <f>VLOOKUP($B22,'Time-Distance-Raw'!$B$17:$X$28,MATCH(H$17,'Time-Distance-Raw'!$B$17:$X$17,0),FALSE)</f>
        <v>1000</v>
      </c>
      <c r="I22">
        <f>VLOOKUP($B22,'Time-Distance-Raw'!$B$17:$X$28,MATCH(I$17,'Time-Distance-Raw'!$B$17:$X$17,0),FALSE)</f>
        <v>17</v>
      </c>
      <c r="J22">
        <f>VLOOKUP($B22,'Time-Distance-Raw'!$B$17:$X$28,MATCH(J$17,'Time-Distance-Raw'!$B$17:$X$17,0),FALSE)</f>
        <v>17</v>
      </c>
      <c r="K22">
        <f>VLOOKUP($B22,'Time-Distance-Raw'!$B$17:$X$28,MATCH(K$17,'Time-Distance-Raw'!$B$17:$X$17,0),FALSE)</f>
        <v>23</v>
      </c>
      <c r="L22">
        <f>VLOOKUP($B22,'Time-Distance-Raw'!$B$17:$X$28,MATCH(L$17,'Time-Distance-Raw'!$B$17:$X$17,0),FALSE)</f>
        <v>13</v>
      </c>
      <c r="M22">
        <f>VLOOKUP($B22,'Time-Distance-Raw'!$B$17:$X$28,MATCH(M$17,'Time-Distance-Raw'!$B$17:$X$17,0),FALSE)</f>
        <v>12</v>
      </c>
      <c r="O22" t="s">
        <v>59</v>
      </c>
      <c r="P22" s="20">
        <f>VLOOKUP($B22,'Time-Distance-Raw'!$B$17:$X$28,MATCH(P$17,'Time-Distance-Raw'!$B$17:$X$17,0)+1,FALSE)</f>
        <v>1</v>
      </c>
      <c r="Q22" s="20">
        <f>VLOOKUP($B22,'Time-Distance-Raw'!$B$17:$X$28,MATCH(Q$17,'Time-Distance-Raw'!$B$17:$X$17,0)+1,FALSE)</f>
        <v>1</v>
      </c>
      <c r="R22" s="20">
        <f>VLOOKUP($B22,'Time-Distance-Raw'!$B$17:$X$28,MATCH(R$17,'Time-Distance-Raw'!$B$17:$X$17,0)+1,FALSE)</f>
        <v>1</v>
      </c>
      <c r="S22" s="20">
        <f>VLOOKUP($B22,'Time-Distance-Raw'!$B$17:$X$28,MATCH(S$17,'Time-Distance-Raw'!$B$17:$X$17,0)+1,FALSE)</f>
        <v>1</v>
      </c>
      <c r="T22" s="20">
        <f>VLOOKUP($B22,'Time-Distance-Raw'!$B$17:$X$28,MATCH(T$17,'Time-Distance-Raw'!$B$17:$X$17,0)+1,FALSE)</f>
        <v>0</v>
      </c>
      <c r="U22">
        <f>VLOOKUP($B22,'Time-Distance-Raw'!$B$17:$X$28,MATCH(U$17,'Time-Distance-Raw'!$B$17:$X$17,0)+1,FALSE)</f>
        <v>1</v>
      </c>
      <c r="V22">
        <f>VLOOKUP($B22,'Time-Distance-Raw'!$B$17:$X$28,MATCH(V$17,'Time-Distance-Raw'!$B$17:$X$17,0)+1,FALSE)</f>
        <v>2</v>
      </c>
      <c r="W22">
        <f>VLOOKUP($B22,'Time-Distance-Raw'!$B$17:$X$28,MATCH(W$17,'Time-Distance-Raw'!$B$17:$X$17,0)+1,FALSE)</f>
        <v>1</v>
      </c>
      <c r="X22">
        <f>VLOOKUP($B22,'Time-Distance-Raw'!$B$17:$X$28,MATCH(X$17,'Time-Distance-Raw'!$B$17:$X$17,0)+1,FALSE)</f>
        <v>3</v>
      </c>
      <c r="Y22">
        <f>VLOOKUP($B22,'Time-Distance-Raw'!$B$17:$X$28,MATCH(Y$17,'Time-Distance-Raw'!$B$17:$X$17,0)+1,FALSE)</f>
        <v>1</v>
      </c>
      <c r="Z22">
        <f>VLOOKUP($B22,'Time-Distance-Raw'!$B$17:$X$28,MATCH(Z$17,'Time-Distance-Raw'!$B$17:$X$17,0)+1,FALSE)</f>
        <v>1</v>
      </c>
    </row>
    <row r="23" spans="2:39">
      <c r="B23" t="s">
        <v>60</v>
      </c>
      <c r="C23" s="20">
        <f>VLOOKUP($B23,'Time-Distance-Raw'!$B$17:$X$28,MATCH(C$17,'Time-Distance-Raw'!$B$17:$X$17,0),FALSE)</f>
        <v>13</v>
      </c>
      <c r="D23" s="20">
        <f>VLOOKUP($B23,'Time-Distance-Raw'!$B$17:$X$28,MATCH(D$17,'Time-Distance-Raw'!$B$17:$X$17,0),FALSE)</f>
        <v>10</v>
      </c>
      <c r="E23" s="20">
        <f>VLOOKUP($B23,'Time-Distance-Raw'!$B$17:$X$28,MATCH(E$17,'Time-Distance-Raw'!$B$17:$X$17,0),FALSE)</f>
        <v>14</v>
      </c>
      <c r="F23" s="20">
        <f>VLOOKUP($B23,'Time-Distance-Raw'!$B$17:$X$28,MATCH(F$17,'Time-Distance-Raw'!$B$17:$X$17,0),FALSE)</f>
        <v>16</v>
      </c>
      <c r="G23" s="20">
        <f>VLOOKUP($B23,'Time-Distance-Raw'!$B$17:$X$28,MATCH(G$17,'Time-Distance-Raw'!$B$17:$X$17,0),FALSE)</f>
        <v>1000</v>
      </c>
      <c r="H23" s="20">
        <f>VLOOKUP($B23,'Time-Distance-Raw'!$B$17:$X$28,MATCH(H$17,'Time-Distance-Raw'!$B$17:$X$17,0),FALSE)</f>
        <v>0</v>
      </c>
      <c r="I23">
        <f>VLOOKUP($B23,'Time-Distance-Raw'!$B$17:$X$28,MATCH(I$17,'Time-Distance-Raw'!$B$17:$X$17,0),FALSE)</f>
        <v>21</v>
      </c>
      <c r="J23">
        <f>VLOOKUP($B23,'Time-Distance-Raw'!$B$17:$X$28,MATCH(J$17,'Time-Distance-Raw'!$B$17:$X$17,0),FALSE)</f>
        <v>16</v>
      </c>
      <c r="K23">
        <f>VLOOKUP($B23,'Time-Distance-Raw'!$B$17:$X$28,MATCH(K$17,'Time-Distance-Raw'!$B$17:$X$17,0),FALSE)</f>
        <v>29</v>
      </c>
      <c r="L23">
        <f>VLOOKUP($B23,'Time-Distance-Raw'!$B$17:$X$28,MATCH(L$17,'Time-Distance-Raw'!$B$17:$X$17,0),FALSE)</f>
        <v>1000</v>
      </c>
      <c r="M23">
        <f>VLOOKUP($B23,'Time-Distance-Raw'!$B$17:$X$28,MATCH(M$17,'Time-Distance-Raw'!$B$17:$X$17,0),FALSE)</f>
        <v>13</v>
      </c>
      <c r="O23" t="s">
        <v>60</v>
      </c>
      <c r="P23" s="20">
        <f>VLOOKUP($B23,'Time-Distance-Raw'!$B$17:$X$28,MATCH(P$17,'Time-Distance-Raw'!$B$17:$X$17,0)+1,FALSE)</f>
        <v>1</v>
      </c>
      <c r="Q23" s="20">
        <f>VLOOKUP($B23,'Time-Distance-Raw'!$B$17:$X$28,MATCH(Q$17,'Time-Distance-Raw'!$B$17:$X$17,0)+1,FALSE)</f>
        <v>1</v>
      </c>
      <c r="R23" s="20">
        <f>VLOOKUP($B23,'Time-Distance-Raw'!$B$17:$X$28,MATCH(R$17,'Time-Distance-Raw'!$B$17:$X$17,0)+1,FALSE)</f>
        <v>1</v>
      </c>
      <c r="S23" s="20">
        <f>VLOOKUP($B23,'Time-Distance-Raw'!$B$17:$X$28,MATCH(S$17,'Time-Distance-Raw'!$B$17:$X$17,0)+1,FALSE)</f>
        <v>1</v>
      </c>
      <c r="T23" s="20">
        <f>VLOOKUP($B23,'Time-Distance-Raw'!$B$17:$X$28,MATCH(T$17,'Time-Distance-Raw'!$B$17:$X$17,0)+1,FALSE)</f>
        <v>1</v>
      </c>
      <c r="U23" s="20">
        <f>VLOOKUP($B23,'Time-Distance-Raw'!$B$17:$X$28,MATCH(U$17,'Time-Distance-Raw'!$B$17:$X$17,0)+1,FALSE)</f>
        <v>0</v>
      </c>
      <c r="V23">
        <f>VLOOKUP($B23,'Time-Distance-Raw'!$B$17:$X$28,MATCH(V$17,'Time-Distance-Raw'!$B$17:$X$17,0)+1,FALSE)</f>
        <v>2</v>
      </c>
      <c r="W23">
        <f>VLOOKUP($B23,'Time-Distance-Raw'!$B$17:$X$28,MATCH(W$17,'Time-Distance-Raw'!$B$17:$X$17,0)+1,FALSE)</f>
        <v>1</v>
      </c>
      <c r="X23">
        <f>VLOOKUP($B23,'Time-Distance-Raw'!$B$17:$X$28,MATCH(X$17,'Time-Distance-Raw'!$B$17:$X$17,0)+1,FALSE)</f>
        <v>2</v>
      </c>
      <c r="Y23">
        <f>VLOOKUP($B23,'Time-Distance-Raw'!$B$17:$X$28,MATCH(Y$17,'Time-Distance-Raw'!$B$17:$X$17,0)+1,FALSE)</f>
        <v>1</v>
      </c>
      <c r="Z23">
        <f>VLOOKUP($B23,'Time-Distance-Raw'!$B$17:$X$28,MATCH(Z$17,'Time-Distance-Raw'!$B$17:$X$17,0)+1,FALSE)</f>
        <v>1</v>
      </c>
    </row>
    <row r="24" spans="2:39">
      <c r="B24" t="s">
        <v>13</v>
      </c>
      <c r="C24" s="20">
        <f>VLOOKUP($B24,'Time-Distance-Raw'!$B$17:$X$28,MATCH(C$17,'Time-Distance-Raw'!$B$17:$X$17,0),FALSE)</f>
        <v>13</v>
      </c>
      <c r="D24" s="20">
        <f>VLOOKUP($B24,'Time-Distance-Raw'!$B$17:$X$28,MATCH(D$17,'Time-Distance-Raw'!$B$17:$X$17,0),FALSE)</f>
        <v>20</v>
      </c>
      <c r="E24" s="20">
        <f>VLOOKUP($B24,'Time-Distance-Raw'!$B$17:$X$28,MATCH(E$17,'Time-Distance-Raw'!$B$17:$X$17,0),FALSE)</f>
        <v>18</v>
      </c>
      <c r="F24" s="20">
        <f>VLOOKUP($B24,'Time-Distance-Raw'!$B$17:$X$28,MATCH(F$17,'Time-Distance-Raw'!$B$17:$X$17,0),FALSE)</f>
        <v>22</v>
      </c>
      <c r="G24" s="20">
        <f>VLOOKUP($B24,'Time-Distance-Raw'!$B$17:$X$28,MATCH(G$17,'Time-Distance-Raw'!$B$17:$X$17,0),FALSE)</f>
        <v>17</v>
      </c>
      <c r="H24" s="20">
        <f>VLOOKUP($B24,'Time-Distance-Raw'!$B$17:$X$28,MATCH(H$17,'Time-Distance-Raw'!$B$17:$X$17,0),FALSE)</f>
        <v>21</v>
      </c>
      <c r="I24" s="45">
        <f>VLOOKUP($B24,'Time-Distance-Raw'!$B$17:$X$28,MATCH(I$17,'Time-Distance-Raw'!$B$17:$X$17,0),FALSE)</f>
        <v>0</v>
      </c>
      <c r="J24">
        <f>VLOOKUP($B24,'Time-Distance-Raw'!$B$17:$X$28,MATCH(J$17,'Time-Distance-Raw'!$B$17:$X$17,0),FALSE)</f>
        <v>18</v>
      </c>
      <c r="K24">
        <f>VLOOKUP($B24,'Time-Distance-Raw'!$B$17:$X$28,MATCH(K$17,'Time-Distance-Raw'!$B$17:$X$17,0),FALSE)</f>
        <v>17</v>
      </c>
      <c r="L24">
        <f>VLOOKUP($B24,'Time-Distance-Raw'!$B$17:$X$28,MATCH(L$17,'Time-Distance-Raw'!$B$17:$X$17,0),FALSE)</f>
        <v>18</v>
      </c>
      <c r="M24">
        <f>VLOOKUP($B24,'Time-Distance-Raw'!$B$17:$X$28,MATCH(M$17,'Time-Distance-Raw'!$B$17:$X$17,0),FALSE)</f>
        <v>12</v>
      </c>
      <c r="O24" t="s">
        <v>13</v>
      </c>
      <c r="P24" s="20">
        <f>VLOOKUP($B24,'Time-Distance-Raw'!$B$17:$X$28,MATCH(P$17,'Time-Distance-Raw'!$B$17:$X$17,0)+1,FALSE)</f>
        <v>1</v>
      </c>
      <c r="Q24" s="20">
        <f>VLOOKUP($B24,'Time-Distance-Raw'!$B$17:$X$28,MATCH(Q$17,'Time-Distance-Raw'!$B$17:$X$17,0)+1,FALSE)</f>
        <v>2</v>
      </c>
      <c r="R24" s="20">
        <f>VLOOKUP($B24,'Time-Distance-Raw'!$B$17:$X$28,MATCH(R$17,'Time-Distance-Raw'!$B$17:$X$17,0)+1,FALSE)</f>
        <v>2</v>
      </c>
      <c r="S24" s="20">
        <f>VLOOKUP($B24,'Time-Distance-Raw'!$B$17:$X$28,MATCH(S$17,'Time-Distance-Raw'!$B$17:$X$17,0)+1,FALSE)</f>
        <v>1</v>
      </c>
      <c r="T24" s="20">
        <f>VLOOKUP($B24,'Time-Distance-Raw'!$B$17:$X$28,MATCH(T$17,'Time-Distance-Raw'!$B$17:$X$17,0)+1,FALSE)</f>
        <v>2</v>
      </c>
      <c r="U24" s="20">
        <f>VLOOKUP($B24,'Time-Distance-Raw'!$B$17:$X$28,MATCH(U$17,'Time-Distance-Raw'!$B$17:$X$17,0)+1,FALSE)</f>
        <v>2</v>
      </c>
      <c r="V24" s="45">
        <f>VLOOKUP($B24,'Time-Distance-Raw'!$B$17:$X$28,MATCH(V$17,'Time-Distance-Raw'!$B$17:$X$17,0)+1,FALSE)</f>
        <v>0</v>
      </c>
      <c r="W24">
        <f>VLOOKUP($B24,'Time-Distance-Raw'!$B$17:$X$28,MATCH(W$17,'Time-Distance-Raw'!$B$17:$X$17,0)+1,FALSE)</f>
        <v>1</v>
      </c>
      <c r="X24">
        <f>VLOOKUP($B24,'Time-Distance-Raw'!$B$17:$X$28,MATCH(X$17,'Time-Distance-Raw'!$B$17:$X$17,0)+1,FALSE)</f>
        <v>1</v>
      </c>
      <c r="Y24">
        <f>VLOOKUP($B24,'Time-Distance-Raw'!$B$17:$X$28,MATCH(Y$17,'Time-Distance-Raw'!$B$17:$X$17,0)+1,FALSE)</f>
        <v>1</v>
      </c>
      <c r="Z24">
        <f>VLOOKUP($B24,'Time-Distance-Raw'!$B$17:$X$28,MATCH(Z$17,'Time-Distance-Raw'!$B$17:$X$17,0)+1,FALSE)</f>
        <v>1</v>
      </c>
    </row>
    <row r="25" spans="2:39">
      <c r="B25" t="s">
        <v>15</v>
      </c>
      <c r="C25" s="20">
        <f>VLOOKUP($B25,'Time-Distance-Raw'!$B$17:$X$28,MATCH(C$17,'Time-Distance-Raw'!$B$17:$X$17,0),FALSE)</f>
        <v>18</v>
      </c>
      <c r="D25" s="20">
        <f>VLOOKUP($B25,'Time-Distance-Raw'!$B$17:$X$28,MATCH(D$17,'Time-Distance-Raw'!$B$17:$X$17,0),FALSE)</f>
        <v>14</v>
      </c>
      <c r="E25" s="20">
        <f>VLOOKUP($B25,'Time-Distance-Raw'!$B$17:$X$28,MATCH(E$17,'Time-Distance-Raw'!$B$17:$X$17,0),FALSE)</f>
        <v>14</v>
      </c>
      <c r="F25" s="20">
        <f>VLOOKUP($B25,'Time-Distance-Raw'!$B$17:$X$28,MATCH(F$17,'Time-Distance-Raw'!$B$17:$X$17,0),FALSE)</f>
        <v>26</v>
      </c>
      <c r="G25" s="20">
        <f>VLOOKUP($B25,'Time-Distance-Raw'!$B$17:$X$28,MATCH(G$17,'Time-Distance-Raw'!$B$17:$X$17,0),FALSE)</f>
        <v>17</v>
      </c>
      <c r="H25" s="20">
        <f>VLOOKUP($B25,'Time-Distance-Raw'!$B$17:$X$28,MATCH(H$17,'Time-Distance-Raw'!$B$17:$X$17,0),FALSE)</f>
        <v>16</v>
      </c>
      <c r="I25" s="45">
        <f>VLOOKUP($B25,'Time-Distance-Raw'!$B$17:$X$28,MATCH(I$17,'Time-Distance-Raw'!$B$17:$X$17,0),FALSE)</f>
        <v>18</v>
      </c>
      <c r="J25" s="45">
        <f>VLOOKUP($B25,'Time-Distance-Raw'!$B$17:$X$28,MATCH(J$17,'Time-Distance-Raw'!$B$17:$X$17,0),FALSE)</f>
        <v>0</v>
      </c>
      <c r="K25">
        <f>VLOOKUP($B25,'Time-Distance-Raw'!$B$17:$X$28,MATCH(K$17,'Time-Distance-Raw'!$B$17:$X$17,0),FALSE)</f>
        <v>24</v>
      </c>
      <c r="L25">
        <f>VLOOKUP($B25,'Time-Distance-Raw'!$B$17:$X$28,MATCH(L$17,'Time-Distance-Raw'!$B$17:$X$17,0),FALSE)</f>
        <v>21</v>
      </c>
      <c r="M25">
        <f>VLOOKUP($B25,'Time-Distance-Raw'!$B$17:$X$28,MATCH(M$17,'Time-Distance-Raw'!$B$17:$X$17,0),FALSE)</f>
        <v>13</v>
      </c>
      <c r="O25" t="s">
        <v>15</v>
      </c>
      <c r="P25" s="20">
        <f>VLOOKUP($B25,'Time-Distance-Raw'!$B$17:$X$28,MATCH(P$17,'Time-Distance-Raw'!$B$17:$X$17,0)+1,FALSE)</f>
        <v>1</v>
      </c>
      <c r="Q25" s="20">
        <f>VLOOKUP($B25,'Time-Distance-Raw'!$B$17:$X$28,MATCH(Q$17,'Time-Distance-Raw'!$B$17:$X$17,0)+1,FALSE)</f>
        <v>1</v>
      </c>
      <c r="R25" s="20">
        <f>VLOOKUP($B25,'Time-Distance-Raw'!$B$17:$X$28,MATCH(R$17,'Time-Distance-Raw'!$B$17:$X$17,0)+1,FALSE)</f>
        <v>1</v>
      </c>
      <c r="S25" s="20">
        <f>VLOOKUP($B25,'Time-Distance-Raw'!$B$17:$X$28,MATCH(S$17,'Time-Distance-Raw'!$B$17:$X$17,0)+1,FALSE)</f>
        <v>2</v>
      </c>
      <c r="T25" s="20">
        <f>VLOOKUP($B25,'Time-Distance-Raw'!$B$17:$X$28,MATCH(T$17,'Time-Distance-Raw'!$B$17:$X$17,0)+1,FALSE)</f>
        <v>1</v>
      </c>
      <c r="U25" s="20">
        <f>VLOOKUP($B25,'Time-Distance-Raw'!$B$17:$X$28,MATCH(U$17,'Time-Distance-Raw'!$B$17:$X$17,0)+1,FALSE)</f>
        <v>1</v>
      </c>
      <c r="V25" s="45">
        <f>VLOOKUP($B25,'Time-Distance-Raw'!$B$17:$X$28,MATCH(V$17,'Time-Distance-Raw'!$B$17:$X$17,0)+1,FALSE)</f>
        <v>1</v>
      </c>
      <c r="W25" s="45">
        <f>VLOOKUP($B25,'Time-Distance-Raw'!$B$17:$X$28,MATCH(W$17,'Time-Distance-Raw'!$B$17:$X$17,0)+1,FALSE)</f>
        <v>0</v>
      </c>
      <c r="X25">
        <f>VLOOKUP($B25,'Time-Distance-Raw'!$B$17:$X$28,MATCH(X$17,'Time-Distance-Raw'!$B$17:$X$17,0)+1,FALSE)</f>
        <v>2</v>
      </c>
      <c r="Y25">
        <f>VLOOKUP($B25,'Time-Distance-Raw'!$B$17:$X$28,MATCH(Y$17,'Time-Distance-Raw'!$B$17:$X$17,0)+1,FALSE)</f>
        <v>1</v>
      </c>
      <c r="Z25">
        <f>VLOOKUP($B25,'Time-Distance-Raw'!$B$17:$X$28,MATCH(Z$17,'Time-Distance-Raw'!$B$17:$X$17,0)+1,FALSE)</f>
        <v>1</v>
      </c>
    </row>
    <row r="26" spans="2:39">
      <c r="B26" t="s">
        <v>14</v>
      </c>
      <c r="C26" s="20">
        <f>VLOOKUP($B26,'Time-Distance-Raw'!$B$17:$X$28,MATCH(C$17,'Time-Distance-Raw'!$B$17:$X$17,0),FALSE)</f>
        <v>18</v>
      </c>
      <c r="D26" s="20">
        <f>VLOOKUP($B26,'Time-Distance-Raw'!$B$17:$X$28,MATCH(D$17,'Time-Distance-Raw'!$B$17:$X$17,0),FALSE)</f>
        <v>27</v>
      </c>
      <c r="E26" s="20">
        <f>VLOOKUP($B26,'Time-Distance-Raw'!$B$17:$X$28,MATCH(E$17,'Time-Distance-Raw'!$B$17:$X$17,0),FALSE)</f>
        <v>16</v>
      </c>
      <c r="F26" s="20">
        <f>VLOOKUP($B26,'Time-Distance-Raw'!$B$17:$X$28,MATCH(F$17,'Time-Distance-Raw'!$B$17:$X$17,0),FALSE)</f>
        <v>22</v>
      </c>
      <c r="G26" s="20">
        <f>VLOOKUP($B26,'Time-Distance-Raw'!$B$17:$X$28,MATCH(G$17,'Time-Distance-Raw'!$B$17:$X$17,0),FALSE)</f>
        <v>23</v>
      </c>
      <c r="H26" s="20">
        <f>VLOOKUP($B26,'Time-Distance-Raw'!$B$17:$X$28,MATCH(H$17,'Time-Distance-Raw'!$B$17:$X$17,0),FALSE)</f>
        <v>29</v>
      </c>
      <c r="I26" s="45">
        <f>VLOOKUP($B26,'Time-Distance-Raw'!$B$17:$X$28,MATCH(I$17,'Time-Distance-Raw'!$B$17:$X$17,0),FALSE)</f>
        <v>17</v>
      </c>
      <c r="J26" s="45">
        <f>VLOOKUP($B26,'Time-Distance-Raw'!$B$17:$X$28,MATCH(J$17,'Time-Distance-Raw'!$B$17:$X$17,0),FALSE)</f>
        <v>24</v>
      </c>
      <c r="K26" s="45">
        <f>VLOOKUP($B26,'Time-Distance-Raw'!$B$17:$X$28,MATCH(K$17,'Time-Distance-Raw'!$B$17:$X$17,0),FALSE)</f>
        <v>0</v>
      </c>
      <c r="L26">
        <f>VLOOKUP($B26,'Time-Distance-Raw'!$B$17:$X$28,MATCH(L$17,'Time-Distance-Raw'!$B$17:$X$17,0),FALSE)</f>
        <v>23</v>
      </c>
      <c r="M26">
        <f>VLOOKUP($B26,'Time-Distance-Raw'!$B$17:$X$28,MATCH(M$17,'Time-Distance-Raw'!$B$17:$X$17,0),FALSE)</f>
        <v>20</v>
      </c>
      <c r="O26" t="s">
        <v>14</v>
      </c>
      <c r="P26" s="20">
        <f>VLOOKUP($B26,'Time-Distance-Raw'!$B$17:$X$28,MATCH(P$17,'Time-Distance-Raw'!$B$17:$X$17,0)+1,FALSE)</f>
        <v>1</v>
      </c>
      <c r="Q26" s="20">
        <f>VLOOKUP($B26,'Time-Distance-Raw'!$B$17:$X$28,MATCH(Q$17,'Time-Distance-Raw'!$B$17:$X$17,0)+1,FALSE)</f>
        <v>2</v>
      </c>
      <c r="R26" s="20">
        <f>VLOOKUP($B26,'Time-Distance-Raw'!$B$17:$X$28,MATCH(R$17,'Time-Distance-Raw'!$B$17:$X$17,0)+1,FALSE)</f>
        <v>1</v>
      </c>
      <c r="S26" s="20">
        <f>VLOOKUP($B26,'Time-Distance-Raw'!$B$17:$X$28,MATCH(S$17,'Time-Distance-Raw'!$B$17:$X$17,0)+1,FALSE)</f>
        <v>1</v>
      </c>
      <c r="T26" s="20">
        <f>VLOOKUP($B26,'Time-Distance-Raw'!$B$17:$X$28,MATCH(T$17,'Time-Distance-Raw'!$B$17:$X$17,0)+1,FALSE)</f>
        <v>3</v>
      </c>
      <c r="U26" s="20">
        <f>VLOOKUP($B26,'Time-Distance-Raw'!$B$17:$X$28,MATCH(U$17,'Time-Distance-Raw'!$B$17:$X$17,0)+1,FALSE)</f>
        <v>2</v>
      </c>
      <c r="V26" s="45">
        <f>VLOOKUP($B26,'Time-Distance-Raw'!$B$17:$X$28,MATCH(V$17,'Time-Distance-Raw'!$B$17:$X$17,0)+1,FALSE)</f>
        <v>1</v>
      </c>
      <c r="W26" s="45">
        <f>VLOOKUP($B26,'Time-Distance-Raw'!$B$17:$X$28,MATCH(W$17,'Time-Distance-Raw'!$B$17:$X$17,0)+1,FALSE)</f>
        <v>2</v>
      </c>
      <c r="X26" s="45">
        <f>VLOOKUP($B26,'Time-Distance-Raw'!$B$17:$X$28,MATCH(X$17,'Time-Distance-Raw'!$B$17:$X$17,0)+1,FALSE)</f>
        <v>0</v>
      </c>
      <c r="Y26">
        <f>VLOOKUP($B26,'Time-Distance-Raw'!$B$17:$X$28,MATCH(Y$17,'Time-Distance-Raw'!$B$17:$X$17,0)+1,FALSE)</f>
        <v>1</v>
      </c>
      <c r="Z26">
        <f>VLOOKUP($B26,'Time-Distance-Raw'!$B$17:$X$28,MATCH(Z$17,'Time-Distance-Raw'!$B$17:$X$17,0)+1,FALSE)</f>
        <v>1</v>
      </c>
    </row>
    <row r="27" spans="2:39">
      <c r="B27" t="s">
        <v>61</v>
      </c>
      <c r="C27" s="20">
        <f>VLOOKUP($B27,'Time-Distance-Raw'!$B$17:$X$28,MATCH(C$17,'Time-Distance-Raw'!$B$17:$X$17,0),FALSE)</f>
        <v>10</v>
      </c>
      <c r="D27" s="20">
        <f>VLOOKUP($B27,'Time-Distance-Raw'!$B$17:$X$28,MATCH(D$17,'Time-Distance-Raw'!$B$17:$X$17,0),FALSE)</f>
        <v>16</v>
      </c>
      <c r="E27" s="20">
        <f>VLOOKUP($B27,'Time-Distance-Raw'!$B$17:$X$28,MATCH(E$17,'Time-Distance-Raw'!$B$17:$X$17,0),FALSE)</f>
        <v>17</v>
      </c>
      <c r="F27" s="20">
        <f>VLOOKUP($B27,'Time-Distance-Raw'!$B$17:$X$28,MATCH(F$17,'Time-Distance-Raw'!$B$17:$X$17,0),FALSE)</f>
        <v>12</v>
      </c>
      <c r="G27" s="20">
        <f>VLOOKUP($B27,'Time-Distance-Raw'!$B$17:$X$28,MATCH(G$17,'Time-Distance-Raw'!$B$17:$X$17,0),FALSE)</f>
        <v>13</v>
      </c>
      <c r="H27" s="20">
        <f>VLOOKUP($B27,'Time-Distance-Raw'!$B$17:$X$28,MATCH(H$17,'Time-Distance-Raw'!$B$17:$X$17,0),FALSE)</f>
        <v>1000</v>
      </c>
      <c r="I27" s="45">
        <f>VLOOKUP($B27,'Time-Distance-Raw'!$B$17:$X$28,MATCH(I$17,'Time-Distance-Raw'!$B$17:$X$17,0),FALSE)</f>
        <v>18</v>
      </c>
      <c r="J27" s="45">
        <f>VLOOKUP($B27,'Time-Distance-Raw'!$B$17:$X$28,MATCH(J$17,'Time-Distance-Raw'!$B$17:$X$17,0),FALSE)</f>
        <v>21</v>
      </c>
      <c r="K27" s="45">
        <f>VLOOKUP($B27,'Time-Distance-Raw'!$B$17:$X$28,MATCH(K$17,'Time-Distance-Raw'!$B$17:$X$17,0),FALSE)</f>
        <v>23</v>
      </c>
      <c r="L27" s="45">
        <f>VLOOKUP($B27,'Time-Distance-Raw'!$B$17:$X$28,MATCH(L$17,'Time-Distance-Raw'!$B$17:$X$17,0),FALSE)</f>
        <v>0</v>
      </c>
      <c r="M27">
        <f>VLOOKUP($B27,'Time-Distance-Raw'!$B$17:$X$28,MATCH(M$17,'Time-Distance-Raw'!$B$17:$X$17,0),FALSE)</f>
        <v>15</v>
      </c>
      <c r="O27" t="s">
        <v>61</v>
      </c>
      <c r="P27" s="20">
        <f>VLOOKUP($B27,'Time-Distance-Raw'!$B$17:$X$28,MATCH(P$17,'Time-Distance-Raw'!$B$17:$X$17,0)+1,FALSE)</f>
        <v>1</v>
      </c>
      <c r="Q27" s="20">
        <f>VLOOKUP($B27,'Time-Distance-Raw'!$B$17:$X$28,MATCH(Q$17,'Time-Distance-Raw'!$B$17:$X$17,0)+1,FALSE)</f>
        <v>2</v>
      </c>
      <c r="R27" s="20">
        <f>VLOOKUP($B27,'Time-Distance-Raw'!$B$17:$X$28,MATCH(R$17,'Time-Distance-Raw'!$B$17:$X$17,0)+1,FALSE)</f>
        <v>1</v>
      </c>
      <c r="S27" s="20">
        <f>VLOOKUP($B27,'Time-Distance-Raw'!$B$17:$X$28,MATCH(S$17,'Time-Distance-Raw'!$B$17:$X$17,0)+1,FALSE)</f>
        <v>1</v>
      </c>
      <c r="T27" s="20">
        <f>VLOOKUP($B27,'Time-Distance-Raw'!$B$17:$X$28,MATCH(T$17,'Time-Distance-Raw'!$B$17:$X$17,0)+1,FALSE)</f>
        <v>1</v>
      </c>
      <c r="U27" s="20">
        <f>VLOOKUP($B27,'Time-Distance-Raw'!$B$17:$X$28,MATCH(U$17,'Time-Distance-Raw'!$B$17:$X$17,0)+1,FALSE)</f>
        <v>1</v>
      </c>
      <c r="V27" s="45">
        <f>VLOOKUP($B27,'Time-Distance-Raw'!$B$17:$X$28,MATCH(V$17,'Time-Distance-Raw'!$B$17:$X$17,0)+1,FALSE)</f>
        <v>1</v>
      </c>
      <c r="W27" s="45">
        <f>VLOOKUP($B27,'Time-Distance-Raw'!$B$17:$X$28,MATCH(W$17,'Time-Distance-Raw'!$B$17:$X$17,0)+1,FALSE)</f>
        <v>1</v>
      </c>
      <c r="X27" s="45">
        <f>VLOOKUP($B27,'Time-Distance-Raw'!$B$17:$X$28,MATCH(X$17,'Time-Distance-Raw'!$B$17:$X$17,0)+1,FALSE)</f>
        <v>1</v>
      </c>
      <c r="Y27" s="45">
        <f>VLOOKUP($B27,'Time-Distance-Raw'!$B$17:$X$28,MATCH(Y$17,'Time-Distance-Raw'!$B$17:$X$17,0)+1,FALSE)</f>
        <v>0</v>
      </c>
      <c r="Z27">
        <f>VLOOKUP($B27,'Time-Distance-Raw'!$B$17:$X$28,MATCH(Z$17,'Time-Distance-Raw'!$B$17:$X$17,0)+1,FALSE)</f>
        <v>1</v>
      </c>
    </row>
    <row r="28" spans="2:39">
      <c r="B28" t="s">
        <v>62</v>
      </c>
      <c r="C28" s="20">
        <f>VLOOKUP($B28,'Time-Distance-Raw'!$B$17:$X$28,MATCH(C$17,'Time-Distance-Raw'!$B$17:$X$17,0),FALSE)</f>
        <v>13</v>
      </c>
      <c r="D28" s="20">
        <f>VLOOKUP($B28,'Time-Distance-Raw'!$B$17:$X$28,MATCH(D$17,'Time-Distance-Raw'!$B$17:$X$17,0),FALSE)</f>
        <v>16</v>
      </c>
      <c r="E28" s="20">
        <f>VLOOKUP($B28,'Time-Distance-Raw'!$B$17:$X$28,MATCH(E$17,'Time-Distance-Raw'!$B$17:$X$17,0),FALSE)</f>
        <v>7</v>
      </c>
      <c r="F28" s="20">
        <f>VLOOKUP($B28,'Time-Distance-Raw'!$B$17:$X$28,MATCH(F$17,'Time-Distance-Raw'!$B$17:$X$17,0),FALSE)</f>
        <v>22</v>
      </c>
      <c r="G28" s="20">
        <f>VLOOKUP($B28,'Time-Distance-Raw'!$B$17:$X$28,MATCH(G$17,'Time-Distance-Raw'!$B$17:$X$17,0),FALSE)</f>
        <v>12</v>
      </c>
      <c r="H28" s="20">
        <f>VLOOKUP($B28,'Time-Distance-Raw'!$B$17:$X$28,MATCH(H$17,'Time-Distance-Raw'!$B$17:$X$17,0),FALSE)</f>
        <v>13</v>
      </c>
      <c r="I28" s="45">
        <f>VLOOKUP($B28,'Time-Distance-Raw'!$B$17:$X$28,MATCH(I$17,'Time-Distance-Raw'!$B$17:$X$17,0),FALSE)</f>
        <v>12</v>
      </c>
      <c r="J28" s="45">
        <f>VLOOKUP($B28,'Time-Distance-Raw'!$B$17:$X$28,MATCH(J$17,'Time-Distance-Raw'!$B$17:$X$17,0),FALSE)</f>
        <v>13</v>
      </c>
      <c r="K28" s="45">
        <f>VLOOKUP($B28,'Time-Distance-Raw'!$B$17:$X$28,MATCH(K$17,'Time-Distance-Raw'!$B$17:$X$17,0),FALSE)</f>
        <v>20</v>
      </c>
      <c r="L28" s="45">
        <f>VLOOKUP($B28,'Time-Distance-Raw'!$B$17:$X$28,MATCH(L$17,'Time-Distance-Raw'!$B$17:$X$17,0),FALSE)</f>
        <v>15</v>
      </c>
      <c r="M28" s="45">
        <f>VLOOKUP($B28,'Time-Distance-Raw'!$B$17:$X$28,MATCH(M$17,'Time-Distance-Raw'!$B$17:$X$17,0),FALSE)</f>
        <v>0</v>
      </c>
      <c r="O28" t="s">
        <v>62</v>
      </c>
      <c r="P28" s="20">
        <f>VLOOKUP($B28,'Time-Distance-Raw'!$B$17:$X$28,MATCH(P$17,'Time-Distance-Raw'!$B$17:$X$17,0)+1,FALSE)</f>
        <v>1</v>
      </c>
      <c r="Q28" s="20">
        <f>VLOOKUP($B28,'Time-Distance-Raw'!$B$17:$X$28,MATCH(Q$17,'Time-Distance-Raw'!$B$17:$X$17,0)+1,FALSE)</f>
        <v>2</v>
      </c>
      <c r="R28" s="20">
        <f>VLOOKUP($B28,'Time-Distance-Raw'!$B$17:$X$28,MATCH(R$17,'Time-Distance-Raw'!$B$17:$X$17,0)+1,FALSE)</f>
        <v>1</v>
      </c>
      <c r="S28" s="20">
        <f>VLOOKUP($B28,'Time-Distance-Raw'!$B$17:$X$28,MATCH(S$17,'Time-Distance-Raw'!$B$17:$X$17,0)+1,FALSE)</f>
        <v>2</v>
      </c>
      <c r="T28" s="20">
        <f>VLOOKUP($B28,'Time-Distance-Raw'!$B$17:$X$28,MATCH(T$17,'Time-Distance-Raw'!$B$17:$X$17,0)+1,FALSE)</f>
        <v>1</v>
      </c>
      <c r="U28" s="20">
        <f>VLOOKUP($B28,'Time-Distance-Raw'!$B$17:$X$28,MATCH(U$17,'Time-Distance-Raw'!$B$17:$X$17,0)+1,FALSE)</f>
        <v>1</v>
      </c>
      <c r="V28" s="45">
        <f>VLOOKUP($B28,'Time-Distance-Raw'!$B$17:$X$28,MATCH(V$17,'Time-Distance-Raw'!$B$17:$X$17,0)+1,FALSE)</f>
        <v>1</v>
      </c>
      <c r="W28" s="45">
        <f>VLOOKUP($B28,'Time-Distance-Raw'!$B$17:$X$28,MATCH(W$17,'Time-Distance-Raw'!$B$17:$X$17,0)+1,FALSE)</f>
        <v>1</v>
      </c>
      <c r="X28" s="45">
        <f>VLOOKUP($B28,'Time-Distance-Raw'!$B$17:$X$28,MATCH(X$17,'Time-Distance-Raw'!$B$17:$X$17,0)+1,FALSE)</f>
        <v>1</v>
      </c>
      <c r="Y28" s="45">
        <f>VLOOKUP($B28,'Time-Distance-Raw'!$B$17:$X$28,MATCH(Y$17,'Time-Distance-Raw'!$B$17:$X$17,0)+1,FALSE)</f>
        <v>1</v>
      </c>
      <c r="Z28" s="45">
        <f>VLOOKUP($B28,'Time-Distance-Raw'!$B$17:$X$28,MATCH(Z$17,'Time-Distance-Raw'!$B$17:$X$17,0)+1,FALSE)</f>
        <v>0</v>
      </c>
    </row>
    <row r="29" spans="2:39">
      <c r="C29" s="41"/>
      <c r="D29" s="41"/>
      <c r="E29" s="41"/>
      <c r="F29" s="41"/>
      <c r="G29" s="41"/>
      <c r="H29" s="41"/>
    </row>
    <row r="30" spans="2:39">
      <c r="C30" s="41"/>
      <c r="D30" s="41"/>
      <c r="E30" s="41"/>
      <c r="F30" s="41"/>
      <c r="G30" s="41"/>
      <c r="H30" s="41"/>
    </row>
    <row r="31" spans="2:39">
      <c r="B31" s="14" t="s">
        <v>25</v>
      </c>
      <c r="C31" t="s">
        <v>57</v>
      </c>
      <c r="D31" t="s">
        <v>0</v>
      </c>
      <c r="E31" t="s">
        <v>12</v>
      </c>
      <c r="F31" t="s">
        <v>58</v>
      </c>
      <c r="G31" t="s">
        <v>59</v>
      </c>
      <c r="H31" t="s">
        <v>60</v>
      </c>
      <c r="I31" t="s">
        <v>13</v>
      </c>
      <c r="J31" t="s">
        <v>15</v>
      </c>
      <c r="K31" t="s">
        <v>14</v>
      </c>
      <c r="L31" t="s">
        <v>61</v>
      </c>
      <c r="M31" t="s">
        <v>62</v>
      </c>
      <c r="O31" s="14" t="s">
        <v>94</v>
      </c>
      <c r="P31" t="s">
        <v>57</v>
      </c>
      <c r="Q31" t="s">
        <v>0</v>
      </c>
      <c r="R31" t="s">
        <v>12</v>
      </c>
      <c r="S31" t="s">
        <v>58</v>
      </c>
      <c r="T31" t="s">
        <v>59</v>
      </c>
      <c r="U31" t="s">
        <v>60</v>
      </c>
      <c r="V31" t="s">
        <v>13</v>
      </c>
      <c r="W31" t="s">
        <v>15</v>
      </c>
      <c r="X31" t="s">
        <v>14</v>
      </c>
      <c r="Y31" t="s">
        <v>61</v>
      </c>
      <c r="Z31" t="s">
        <v>62</v>
      </c>
      <c r="AB31" s="14" t="s">
        <v>95</v>
      </c>
      <c r="AC31" t="s">
        <v>57</v>
      </c>
      <c r="AD31" t="s">
        <v>0</v>
      </c>
      <c r="AE31" t="s">
        <v>12</v>
      </c>
      <c r="AF31" t="s">
        <v>58</v>
      </c>
      <c r="AG31" t="s">
        <v>59</v>
      </c>
      <c r="AH31" t="s">
        <v>60</v>
      </c>
      <c r="AI31" t="s">
        <v>13</v>
      </c>
      <c r="AJ31" t="s">
        <v>15</v>
      </c>
      <c r="AK31" t="s">
        <v>14</v>
      </c>
      <c r="AL31" t="s">
        <v>61</v>
      </c>
      <c r="AM31" t="s">
        <v>62</v>
      </c>
    </row>
    <row r="32" spans="2:39">
      <c r="B32" t="s">
        <v>57</v>
      </c>
      <c r="C32" s="20">
        <f>VLOOKUP($B32,'Time-Distance-Raw'!$B$31:$X$42,MATCH(C$31,'Time-Distance-Raw'!$B$31:$X$31,0),FALSE)</f>
        <v>0</v>
      </c>
      <c r="D32">
        <f>VLOOKUP($B32,'Time-Distance-Raw'!$B$31:$X$42,MATCH(D$31,'Time-Distance-Raw'!$B$31:$X$31,0),FALSE)</f>
        <v>6</v>
      </c>
      <c r="E32">
        <f>VLOOKUP($B32,'Time-Distance-Raw'!$B$31:$X$42,MATCH(E$31,'Time-Distance-Raw'!$B$31:$X$31,0),FALSE)</f>
        <v>11</v>
      </c>
      <c r="F32">
        <f>VLOOKUP($B32,'Time-Distance-Raw'!$B$31:$X$42,MATCH(F$31,'Time-Distance-Raw'!$B$31:$X$31,0),FALSE)</f>
        <v>5</v>
      </c>
      <c r="G32">
        <f>VLOOKUP($B32,'Time-Distance-Raw'!$B$31:$X$42,MATCH(G$31,'Time-Distance-Raw'!$B$31:$X$31,0),FALSE)</f>
        <v>3</v>
      </c>
      <c r="H32">
        <f>VLOOKUP($B32,'Time-Distance-Raw'!$B$31:$X$42,MATCH(H$31,'Time-Distance-Raw'!$B$31:$X$31,0),FALSE)</f>
        <v>6</v>
      </c>
      <c r="I32">
        <f>VLOOKUP($B32,'Time-Distance-Raw'!$B$31:$X$42,MATCH(I$31,'Time-Distance-Raw'!$B$31:$X$31,0),FALSE)</f>
        <v>3</v>
      </c>
      <c r="J32">
        <f>VLOOKUP($B32,'Time-Distance-Raw'!$B$31:$X$42,MATCH(J$31,'Time-Distance-Raw'!$B$31:$X$31,0),FALSE)</f>
        <v>8</v>
      </c>
      <c r="K32">
        <f>VLOOKUP($B32,'Time-Distance-Raw'!$B$31:$X$42,MATCH(K$31,'Time-Distance-Raw'!$B$31:$X$31,0),FALSE)</f>
        <v>10</v>
      </c>
      <c r="L32">
        <f>VLOOKUP($B32,'Time-Distance-Raw'!$B$31:$X$42,MATCH(L$31,'Time-Distance-Raw'!$B$31:$X$31,0),FALSE)</f>
        <v>6</v>
      </c>
      <c r="M32">
        <f>VLOOKUP($B32,'Time-Distance-Raw'!$B$31:$X$42,MATCH(M$31,'Time-Distance-Raw'!$B$31:$X$31,0),FALSE)</f>
        <v>6</v>
      </c>
      <c r="O32" t="s">
        <v>57</v>
      </c>
      <c r="P32" s="20">
        <f>VLOOKUP($B32,'Time-Distance-Raw'!$B$31:$X$42,MATCH(P$31,'Time-Distance-Raw'!$B$31:$X$31,0)+1,FALSE)</f>
        <v>0</v>
      </c>
      <c r="Q32">
        <f>VLOOKUP($B32,'Time-Distance-Raw'!$B$31:$X$42,MATCH(Q$31,'Time-Distance-Raw'!$B$31:$X$31,0)+1,FALSE)</f>
        <v>1.7</v>
      </c>
      <c r="R32">
        <f>VLOOKUP($B32,'Time-Distance-Raw'!$B$31:$X$42,MATCH(R$31,'Time-Distance-Raw'!$B$31:$X$31,0)+1,FALSE)</f>
        <v>2.2999999999999998</v>
      </c>
      <c r="S32">
        <f>VLOOKUP($B32,'Time-Distance-Raw'!$B$31:$X$42,MATCH(S$31,'Time-Distance-Raw'!$B$31:$X$31,0)+1,FALSE)</f>
        <v>1.3</v>
      </c>
      <c r="T32">
        <f>VLOOKUP($B32,'Time-Distance-Raw'!$B$31:$X$42,MATCH(T$31,'Time-Distance-Raw'!$B$31:$X$31,0)+1,FALSE)</f>
        <v>0.9</v>
      </c>
      <c r="U32">
        <f>VLOOKUP($B32,'Time-Distance-Raw'!$B$31:$X$42,MATCH(U$31,'Time-Distance-Raw'!$B$31:$X$31,0)+1,FALSE)</f>
        <v>1.7</v>
      </c>
      <c r="V32">
        <f>VLOOKUP($B32,'Time-Distance-Raw'!$B$31:$X$42,MATCH(V$31,'Time-Distance-Raw'!$B$31:$X$31,0)+1,FALSE)</f>
        <v>0.9</v>
      </c>
      <c r="W32">
        <f>VLOOKUP($B32,'Time-Distance-Raw'!$B$31:$X$42,MATCH(W$31,'Time-Distance-Raw'!$B$31:$X$31,0)+1,FALSE)</f>
        <v>1.9</v>
      </c>
      <c r="X32">
        <f>VLOOKUP($B32,'Time-Distance-Raw'!$B$31:$X$42,MATCH(X$31,'Time-Distance-Raw'!$B$31:$X$31,0)+1,FALSE)</f>
        <v>3</v>
      </c>
      <c r="Y32">
        <f>VLOOKUP($B32,'Time-Distance-Raw'!$B$31:$X$42,MATCH(Y$31,'Time-Distance-Raw'!$B$31:$X$31,0)+1,FALSE)</f>
        <v>1.7</v>
      </c>
      <c r="Z32">
        <f>VLOOKUP($B32,'Time-Distance-Raw'!$B$31:$X$42,MATCH(Z$31,'Time-Distance-Raw'!$B$31:$X$31,0)+1,FALSE)</f>
        <v>1.5</v>
      </c>
      <c r="AB32" t="s">
        <v>57</v>
      </c>
      <c r="AC32" s="20">
        <f>P32*$C$58+$C$57+IF(Model!$AD$23=1,'Time-Distance'!$C$59,0)</f>
        <v>2.5</v>
      </c>
      <c r="AD32">
        <f>Q32*$C$58+$C$57+IF(Model!$AD$23=1,'Time-Distance'!$C$59,0)</f>
        <v>5.9</v>
      </c>
      <c r="AE32">
        <f>R32*$C$58+$C$57+IF(Model!$AD$23=1,'Time-Distance'!$C$59,0)</f>
        <v>7.1</v>
      </c>
      <c r="AF32">
        <f>S32*$C$58+$C$57+IF(Model!$AD$23=1,'Time-Distance'!$C$59,0)</f>
        <v>5.0999999999999996</v>
      </c>
      <c r="AG32">
        <f>T32*$C$58+$C$57+IF(Model!$AD$23=1,'Time-Distance'!$C$59,0)</f>
        <v>4.3</v>
      </c>
      <c r="AH32">
        <f>U32*$C$58+$C$57+IF(Model!$AD$23=1,'Time-Distance'!$C$59,0)</f>
        <v>5.9</v>
      </c>
      <c r="AI32">
        <f>V32*$C$58+$C$57+IF(Model!$AD$23=1,'Time-Distance'!$C$59,0)</f>
        <v>4.3</v>
      </c>
      <c r="AJ32">
        <f>W32*$C$58+$C$57+IF(Model!$AD$23=1,'Time-Distance'!$C$59,0)</f>
        <v>6.3</v>
      </c>
      <c r="AK32">
        <f>X32*$C$58+$C$57+IF(Model!$AD$23=1,'Time-Distance'!$C$59,0)</f>
        <v>8.5</v>
      </c>
      <c r="AL32">
        <f>Y32*$C$58+$C$57+IF(Model!$AD$23=1,'Time-Distance'!$C$59,0)</f>
        <v>5.9</v>
      </c>
      <c r="AM32">
        <f>Z32*$C$58+$C$57+IF(Model!$AD$23=1,'Time-Distance'!$C$59,0)</f>
        <v>5.5</v>
      </c>
    </row>
    <row r="33" spans="2:39">
      <c r="B33" t="s">
        <v>0</v>
      </c>
      <c r="C33" s="20">
        <f>VLOOKUP($B33,'Time-Distance-Raw'!$B$31:$X$42,MATCH(C$31,'Time-Distance-Raw'!$B$31:$X$31,0),FALSE)</f>
        <v>6</v>
      </c>
      <c r="D33" s="20">
        <f>VLOOKUP($B33,'Time-Distance-Raw'!$B$31:$X$42,MATCH(D$31,'Time-Distance-Raw'!$B$31:$X$31,0),FALSE)</f>
        <v>0</v>
      </c>
      <c r="E33">
        <f>VLOOKUP($B33,'Time-Distance-Raw'!$B$31:$X$42,MATCH(E$31,'Time-Distance-Raw'!$B$31:$X$31,0),FALSE)</f>
        <v>11</v>
      </c>
      <c r="F33">
        <f>VLOOKUP($B33,'Time-Distance-Raw'!$B$31:$X$42,MATCH(F$31,'Time-Distance-Raw'!$B$31:$X$31,0),FALSE)</f>
        <v>7</v>
      </c>
      <c r="G33">
        <f>VLOOKUP($B33,'Time-Distance-Raw'!$B$31:$X$42,MATCH(G$31,'Time-Distance-Raw'!$B$31:$X$31,0),FALSE)</f>
        <v>3</v>
      </c>
      <c r="H33">
        <f>VLOOKUP($B33,'Time-Distance-Raw'!$B$31:$X$42,MATCH(H$31,'Time-Distance-Raw'!$B$31:$X$31,0),FALSE)</f>
        <v>4</v>
      </c>
      <c r="I33">
        <f>VLOOKUP($B33,'Time-Distance-Raw'!$B$31:$X$42,MATCH(I$31,'Time-Distance-Raw'!$B$31:$X$31,0),FALSE)</f>
        <v>8</v>
      </c>
      <c r="J33">
        <f>VLOOKUP($B33,'Time-Distance-Raw'!$B$31:$X$42,MATCH(J$31,'Time-Distance-Raw'!$B$31:$X$31,0),FALSE)</f>
        <v>8</v>
      </c>
      <c r="K33">
        <f>VLOOKUP($B33,'Time-Distance-Raw'!$B$31:$X$42,MATCH(K$31,'Time-Distance-Raw'!$B$31:$X$31,0),FALSE)</f>
        <v>14</v>
      </c>
      <c r="L33">
        <f>VLOOKUP($B33,'Time-Distance-Raw'!$B$31:$X$42,MATCH(L$31,'Time-Distance-Raw'!$B$31:$X$31,0),FALSE)</f>
        <v>6</v>
      </c>
      <c r="M33">
        <f>VLOOKUP($B33,'Time-Distance-Raw'!$B$31:$X$42,MATCH(M$31,'Time-Distance-Raw'!$B$31:$X$31,0),FALSE)</f>
        <v>9</v>
      </c>
      <c r="O33" t="s">
        <v>0</v>
      </c>
      <c r="P33" s="20">
        <f>VLOOKUP($B33,'Time-Distance-Raw'!$B$31:$X$42,MATCH(P$31,'Time-Distance-Raw'!$B$31:$X$31,0)+1,FALSE)</f>
        <v>1.7</v>
      </c>
      <c r="Q33" s="20">
        <f>VLOOKUP($B33,'Time-Distance-Raw'!$B$31:$X$42,MATCH(Q$31,'Time-Distance-Raw'!$B$31:$X$31,0)+1,FALSE)</f>
        <v>0</v>
      </c>
      <c r="R33">
        <f>VLOOKUP($B33,'Time-Distance-Raw'!$B$31:$X$42,MATCH(R$31,'Time-Distance-Raw'!$B$31:$X$31,0)+1,FALSE)</f>
        <v>2.8</v>
      </c>
      <c r="S33">
        <f>VLOOKUP($B33,'Time-Distance-Raw'!$B$31:$X$42,MATCH(S$31,'Time-Distance-Raw'!$B$31:$X$31,0)+1,FALSE)</f>
        <v>2</v>
      </c>
      <c r="T33">
        <f>VLOOKUP($B33,'Time-Distance-Raw'!$B$31:$X$42,MATCH(T$31,'Time-Distance-Raw'!$B$31:$X$31,0)+1,FALSE)</f>
        <v>0.6</v>
      </c>
      <c r="U33">
        <f>VLOOKUP($B33,'Time-Distance-Raw'!$B$31:$X$42,MATCH(U$31,'Time-Distance-Raw'!$B$31:$X$31,0)+1,FALSE)</f>
        <v>1.1000000000000001</v>
      </c>
      <c r="V33">
        <f>VLOOKUP($B33,'Time-Distance-Raw'!$B$31:$X$42,MATCH(V$31,'Time-Distance-Raw'!$B$31:$X$31,0)+1,FALSE)</f>
        <v>2.2000000000000002</v>
      </c>
      <c r="W33">
        <f>VLOOKUP($B33,'Time-Distance-Raw'!$B$31:$X$42,MATCH(W$31,'Time-Distance-Raw'!$B$31:$X$31,0)+1,FALSE)</f>
        <v>1.9</v>
      </c>
      <c r="X33">
        <f>VLOOKUP($B33,'Time-Distance-Raw'!$B$31:$X$42,MATCH(X$31,'Time-Distance-Raw'!$B$31:$X$31,0)+1,FALSE)</f>
        <v>4.3</v>
      </c>
      <c r="Y33">
        <f>VLOOKUP($B33,'Time-Distance-Raw'!$B$31:$X$42,MATCH(Y$31,'Time-Distance-Raw'!$B$31:$X$31,0)+1,FALSE)</f>
        <v>1.2</v>
      </c>
      <c r="Z33">
        <f>VLOOKUP($B33,'Time-Distance-Raw'!$B$31:$X$42,MATCH(Z$31,'Time-Distance-Raw'!$B$31:$X$31,0)+1,FALSE)</f>
        <v>2.4</v>
      </c>
      <c r="AB33" t="s">
        <v>0</v>
      </c>
      <c r="AC33" s="20">
        <f>P33*$C$58+$C$57+IF(Model!$AD$23=1,'Time-Distance'!$C$59,0)</f>
        <v>5.9</v>
      </c>
      <c r="AD33" s="20">
        <f>Q33*$C$58+$C$57+IF(Model!$AD$23=1,'Time-Distance'!$C$59,0)</f>
        <v>2.5</v>
      </c>
      <c r="AE33">
        <f>R33*$C$58+$C$57+IF(Model!$AD$23=1,'Time-Distance'!$C$59,0)</f>
        <v>8.1</v>
      </c>
      <c r="AF33">
        <f>S33*$C$58+$C$57+IF(Model!$AD$23=1,'Time-Distance'!$C$59,0)</f>
        <v>6.5</v>
      </c>
      <c r="AG33">
        <f>T33*$C$58+$C$57+IF(Model!$AD$23=1,'Time-Distance'!$C$59,0)</f>
        <v>3.7</v>
      </c>
      <c r="AH33">
        <f>U33*$C$58+$C$57+IF(Model!$AD$23=1,'Time-Distance'!$C$59,0)</f>
        <v>4.7</v>
      </c>
      <c r="AI33">
        <f>V33*$C$58+$C$57+IF(Model!$AD$23=1,'Time-Distance'!$C$59,0)</f>
        <v>6.9</v>
      </c>
      <c r="AJ33">
        <f>W33*$C$58+$C$57+IF(Model!$AD$23=1,'Time-Distance'!$C$59,0)</f>
        <v>6.3</v>
      </c>
      <c r="AK33">
        <f>X33*$C$58+$C$57+IF(Model!$AD$23=1,'Time-Distance'!$C$59,0)</f>
        <v>11.1</v>
      </c>
      <c r="AL33">
        <f>Y33*$C$58+$C$57+IF(Model!$AD$23=1,'Time-Distance'!$C$59,0)</f>
        <v>4.9000000000000004</v>
      </c>
      <c r="AM33">
        <f>Z33*$C$58+$C$57+IF(Model!$AD$23=1,'Time-Distance'!$C$59,0)</f>
        <v>7.3</v>
      </c>
    </row>
    <row r="34" spans="2:39">
      <c r="B34" t="s">
        <v>12</v>
      </c>
      <c r="C34" s="20">
        <f>VLOOKUP($B34,'Time-Distance-Raw'!$B$31:$X$42,MATCH(C$31,'Time-Distance-Raw'!$B$31:$X$31,0),FALSE)</f>
        <v>11</v>
      </c>
      <c r="D34" s="20">
        <f>VLOOKUP($B34,'Time-Distance-Raw'!$B$31:$X$42,MATCH(D$31,'Time-Distance-Raw'!$B$31:$X$31,0),FALSE)</f>
        <v>11</v>
      </c>
      <c r="E34" s="20">
        <f>VLOOKUP($B34,'Time-Distance-Raw'!$B$31:$X$42,MATCH(E$31,'Time-Distance-Raw'!$B$31:$X$31,0),FALSE)</f>
        <v>0</v>
      </c>
      <c r="F34">
        <f>VLOOKUP($B34,'Time-Distance-Raw'!$B$31:$X$42,MATCH(F$31,'Time-Distance-Raw'!$B$31:$X$31,0),FALSE)</f>
        <v>15</v>
      </c>
      <c r="G34">
        <f>VLOOKUP($B34,'Time-Distance-Raw'!$B$31:$X$42,MATCH(G$31,'Time-Distance-Raw'!$B$31:$X$31,0),FALSE)</f>
        <v>11</v>
      </c>
      <c r="H34">
        <f>VLOOKUP($B34,'Time-Distance-Raw'!$B$31:$X$42,MATCH(H$31,'Time-Distance-Raw'!$B$31:$X$31,0),FALSE)</f>
        <v>13</v>
      </c>
      <c r="I34">
        <f>VLOOKUP($B34,'Time-Distance-Raw'!$B$31:$X$42,MATCH(I$31,'Time-Distance-Raw'!$B$31:$X$31,0),FALSE)</f>
        <v>7</v>
      </c>
      <c r="J34">
        <f>VLOOKUP($B34,'Time-Distance-Raw'!$B$31:$X$42,MATCH(J$31,'Time-Distance-Raw'!$B$31:$X$31,0),FALSE)</f>
        <v>6</v>
      </c>
      <c r="K34">
        <f>VLOOKUP($B34,'Time-Distance-Raw'!$B$31:$X$42,MATCH(K$31,'Time-Distance-Raw'!$B$31:$X$31,0),FALSE)</f>
        <v>10</v>
      </c>
      <c r="L34">
        <f>VLOOKUP($B34,'Time-Distance-Raw'!$B$31:$X$42,MATCH(L$31,'Time-Distance-Raw'!$B$31:$X$31,0),FALSE)</f>
        <v>14</v>
      </c>
      <c r="M34">
        <f>VLOOKUP($B34,'Time-Distance-Raw'!$B$31:$X$42,MATCH(M$31,'Time-Distance-Raw'!$B$31:$X$31,0),FALSE)</f>
        <v>8</v>
      </c>
      <c r="O34" t="s">
        <v>12</v>
      </c>
      <c r="P34" s="20">
        <f>VLOOKUP($B34,'Time-Distance-Raw'!$B$31:$X$42,MATCH(P$31,'Time-Distance-Raw'!$B$31:$X$31,0)+1,FALSE)</f>
        <v>2.2999999999999998</v>
      </c>
      <c r="Q34" s="20">
        <f>VLOOKUP($B34,'Time-Distance-Raw'!$B$31:$X$42,MATCH(Q$31,'Time-Distance-Raw'!$B$31:$X$31,0)+1,FALSE)</f>
        <v>2.8</v>
      </c>
      <c r="R34" s="20">
        <f>VLOOKUP($B34,'Time-Distance-Raw'!$B$31:$X$42,MATCH(R$31,'Time-Distance-Raw'!$B$31:$X$31,0)+1,FALSE)</f>
        <v>0</v>
      </c>
      <c r="S34">
        <f>VLOOKUP($B34,'Time-Distance-Raw'!$B$31:$X$42,MATCH(S$31,'Time-Distance-Raw'!$B$31:$X$31,0)+1,FALSE)</f>
        <v>3.6</v>
      </c>
      <c r="T34">
        <f>VLOOKUP($B34,'Time-Distance-Raw'!$B$31:$X$42,MATCH(T$31,'Time-Distance-Raw'!$B$31:$X$31,0)+1,FALSE)</f>
        <v>2.6</v>
      </c>
      <c r="U34">
        <f>VLOOKUP($B34,'Time-Distance-Raw'!$B$31:$X$42,MATCH(U$31,'Time-Distance-Raw'!$B$31:$X$31,0)+1,FALSE)</f>
        <v>3.4</v>
      </c>
      <c r="V34">
        <f>VLOOKUP($B34,'Time-Distance-Raw'!$B$31:$X$42,MATCH(V$31,'Time-Distance-Raw'!$B$31:$X$31,0)+1,FALSE)</f>
        <v>1.5</v>
      </c>
      <c r="W34">
        <f>VLOOKUP($B34,'Time-Distance-Raw'!$B$31:$X$42,MATCH(W$31,'Time-Distance-Raw'!$B$31:$X$31,0)+1,FALSE)</f>
        <v>1.1000000000000001</v>
      </c>
      <c r="X34">
        <f>VLOOKUP($B34,'Time-Distance-Raw'!$B$31:$X$42,MATCH(X$31,'Time-Distance-Raw'!$B$31:$X$31,0)+1,FALSE)</f>
        <v>1.9</v>
      </c>
      <c r="Y34">
        <f>VLOOKUP($B34,'Time-Distance-Raw'!$B$31:$X$42,MATCH(Y$31,'Time-Distance-Raw'!$B$31:$X$31,0)+1,FALSE)</f>
        <v>3.4</v>
      </c>
      <c r="Z34">
        <f>VLOOKUP($B34,'Time-Distance-Raw'!$B$31:$X$42,MATCH(Z$31,'Time-Distance-Raw'!$B$31:$X$31,0)+1,FALSE)</f>
        <v>1.4</v>
      </c>
      <c r="AB34" t="s">
        <v>12</v>
      </c>
      <c r="AC34" s="20">
        <f>P34*$C$58+$C$57+IF(Model!$AD$23=1,'Time-Distance'!$C$59,0)</f>
        <v>7.1</v>
      </c>
      <c r="AD34" s="20">
        <f>Q34*$C$58+$C$57+IF(Model!$AD$23=1,'Time-Distance'!$C$59,0)</f>
        <v>8.1</v>
      </c>
      <c r="AE34" s="20">
        <f>R34*$C$58+$C$57+IF(Model!$AD$23=1,'Time-Distance'!$C$59,0)</f>
        <v>2.5</v>
      </c>
      <c r="AF34">
        <f>S34*$C$58+$C$57+IF(Model!$AD$23=1,'Time-Distance'!$C$59,0)</f>
        <v>9.6999999999999993</v>
      </c>
      <c r="AG34">
        <f>T34*$C$58+$C$57+IF(Model!$AD$23=1,'Time-Distance'!$C$59,0)</f>
        <v>7.7</v>
      </c>
      <c r="AH34">
        <f>U34*$C$58+$C$57+IF(Model!$AD$23=1,'Time-Distance'!$C$59,0)</f>
        <v>9.3000000000000007</v>
      </c>
      <c r="AI34">
        <f>V34*$C$58+$C$57+IF(Model!$AD$23=1,'Time-Distance'!$C$59,0)</f>
        <v>5.5</v>
      </c>
      <c r="AJ34">
        <f>W34*$C$58+$C$57+IF(Model!$AD$23=1,'Time-Distance'!$C$59,0)</f>
        <v>4.7</v>
      </c>
      <c r="AK34">
        <f>X34*$C$58+$C$57+IF(Model!$AD$23=1,'Time-Distance'!$C$59,0)</f>
        <v>6.3</v>
      </c>
      <c r="AL34">
        <f>Y34*$C$58+$C$57+IF(Model!$AD$23=1,'Time-Distance'!$C$59,0)</f>
        <v>9.3000000000000007</v>
      </c>
      <c r="AM34">
        <f>Z34*$C$58+$C$57+IF(Model!$AD$23=1,'Time-Distance'!$C$59,0)</f>
        <v>5.3</v>
      </c>
    </row>
    <row r="35" spans="2:39">
      <c r="B35" t="s">
        <v>58</v>
      </c>
      <c r="C35" s="20">
        <f>VLOOKUP($B35,'Time-Distance-Raw'!$B$31:$X$42,MATCH(C$31,'Time-Distance-Raw'!$B$31:$X$31,0),FALSE)</f>
        <v>5</v>
      </c>
      <c r="D35" s="20">
        <f>VLOOKUP($B35,'Time-Distance-Raw'!$B$31:$X$42,MATCH(D$31,'Time-Distance-Raw'!$B$31:$X$31,0),FALSE)</f>
        <v>7</v>
      </c>
      <c r="E35" s="20">
        <f>VLOOKUP($B35,'Time-Distance-Raw'!$B$31:$X$42,MATCH(E$31,'Time-Distance-Raw'!$B$31:$X$31,0),FALSE)</f>
        <v>15</v>
      </c>
      <c r="F35" s="20">
        <f>VLOOKUP($B35,'Time-Distance-Raw'!$B$31:$X$42,MATCH(F$31,'Time-Distance-Raw'!$B$31:$X$31,0),FALSE)</f>
        <v>0</v>
      </c>
      <c r="G35">
        <f>VLOOKUP($B35,'Time-Distance-Raw'!$B$31:$X$42,MATCH(G$31,'Time-Distance-Raw'!$B$31:$X$31,0),FALSE)</f>
        <v>5</v>
      </c>
      <c r="H35">
        <f>VLOOKUP($B35,'Time-Distance-Raw'!$B$31:$X$42,MATCH(H$31,'Time-Distance-Raw'!$B$31:$X$31,0),FALSE)</f>
        <v>4</v>
      </c>
      <c r="I35">
        <f>VLOOKUP($B35,'Time-Distance-Raw'!$B$31:$X$42,MATCH(I$31,'Time-Distance-Raw'!$B$31:$X$31,0),FALSE)</f>
        <v>6</v>
      </c>
      <c r="J35">
        <f>VLOOKUP($B35,'Time-Distance-Raw'!$B$31:$X$42,MATCH(J$31,'Time-Distance-Raw'!$B$31:$X$31,0),FALSE)</f>
        <v>12</v>
      </c>
      <c r="K35">
        <f>VLOOKUP($B35,'Time-Distance-Raw'!$B$31:$X$42,MATCH(K$31,'Time-Distance-Raw'!$B$31:$X$31,0),FALSE)</f>
        <v>10</v>
      </c>
      <c r="L35">
        <f>VLOOKUP($B35,'Time-Distance-Raw'!$B$31:$X$42,MATCH(L$31,'Time-Distance-Raw'!$B$31:$X$31,0),FALSE)</f>
        <v>3</v>
      </c>
      <c r="M35">
        <f>VLOOKUP($B35,'Time-Distance-Raw'!$B$31:$X$42,MATCH(M$31,'Time-Distance-Raw'!$B$31:$X$31,0),FALSE)</f>
        <v>9</v>
      </c>
      <c r="O35" t="s">
        <v>58</v>
      </c>
      <c r="P35" s="20">
        <f>VLOOKUP($B35,'Time-Distance-Raw'!$B$31:$X$42,MATCH(P$31,'Time-Distance-Raw'!$B$31:$X$31,0)+1,FALSE)</f>
        <v>1.3</v>
      </c>
      <c r="Q35" s="20">
        <f>VLOOKUP($B35,'Time-Distance-Raw'!$B$31:$X$42,MATCH(Q$31,'Time-Distance-Raw'!$B$31:$X$31,0)+1,FALSE)</f>
        <v>2</v>
      </c>
      <c r="R35" s="20">
        <f>VLOOKUP($B35,'Time-Distance-Raw'!$B$31:$X$42,MATCH(R$31,'Time-Distance-Raw'!$B$31:$X$31,0)+1,FALSE)</f>
        <v>3.6</v>
      </c>
      <c r="S35" s="20">
        <f>VLOOKUP($B35,'Time-Distance-Raw'!$B$31:$X$42,MATCH(S$31,'Time-Distance-Raw'!$B$31:$X$31,0)+1,FALSE)</f>
        <v>0</v>
      </c>
      <c r="T35">
        <f>VLOOKUP($B35,'Time-Distance-Raw'!$B$31:$X$42,MATCH(T$31,'Time-Distance-Raw'!$B$31:$X$31,0)+1,FALSE)</f>
        <v>1.6</v>
      </c>
      <c r="U35">
        <f>VLOOKUP($B35,'Time-Distance-Raw'!$B$31:$X$42,MATCH(U$31,'Time-Distance-Raw'!$B$31:$X$31,0)+1,FALSE)</f>
        <v>0.9</v>
      </c>
      <c r="V35">
        <f>VLOOKUP($B35,'Time-Distance-Raw'!$B$31:$X$42,MATCH(V$31,'Time-Distance-Raw'!$B$31:$X$31,0)+1,FALSE)</f>
        <v>1.9</v>
      </c>
      <c r="W35">
        <f>VLOOKUP($B35,'Time-Distance-Raw'!$B$31:$X$42,MATCH(W$31,'Time-Distance-Raw'!$B$31:$X$31,0)+1,FALSE)</f>
        <v>3.2</v>
      </c>
      <c r="X35">
        <f>VLOOKUP($B35,'Time-Distance-Raw'!$B$31:$X$42,MATCH(X$31,'Time-Distance-Raw'!$B$31:$X$31,0)+1,FALSE)</f>
        <v>3.5</v>
      </c>
      <c r="Y35">
        <f>VLOOKUP($B35,'Time-Distance-Raw'!$B$31:$X$42,MATCH(Y$31,'Time-Distance-Raw'!$B$31:$X$31,0)+1,FALSE)</f>
        <v>0.5</v>
      </c>
      <c r="Z35">
        <f>VLOOKUP($B35,'Time-Distance-Raw'!$B$31:$X$42,MATCH(Z$31,'Time-Distance-Raw'!$B$31:$X$31,0)+1,FALSE)</f>
        <v>2.6</v>
      </c>
      <c r="AB35" t="s">
        <v>58</v>
      </c>
      <c r="AC35" s="20">
        <f>P35*$C$58+$C$57+IF(Model!$AD$23=1,'Time-Distance'!$C$59,0)</f>
        <v>5.0999999999999996</v>
      </c>
      <c r="AD35" s="20">
        <f>Q35*$C$58+$C$57+IF(Model!$AD$23=1,'Time-Distance'!$C$59,0)</f>
        <v>6.5</v>
      </c>
      <c r="AE35" s="20">
        <f>R35*$C$58+$C$57+IF(Model!$AD$23=1,'Time-Distance'!$C$59,0)</f>
        <v>9.6999999999999993</v>
      </c>
      <c r="AF35" s="20">
        <f>S35*$C$58+$C$57+IF(Model!$AD$23=1,'Time-Distance'!$C$59,0)</f>
        <v>2.5</v>
      </c>
      <c r="AG35">
        <f>T35*$C$58+$C$57+IF(Model!$AD$23=1,'Time-Distance'!$C$59,0)</f>
        <v>5.7</v>
      </c>
      <c r="AH35">
        <f>U35*$C$58+$C$57+IF(Model!$AD$23=1,'Time-Distance'!$C$59,0)</f>
        <v>4.3</v>
      </c>
      <c r="AI35">
        <f>V35*$C$58+$C$57+IF(Model!$AD$23=1,'Time-Distance'!$C$59,0)</f>
        <v>6.3</v>
      </c>
      <c r="AJ35">
        <f>W35*$C$58+$C$57+IF(Model!$AD$23=1,'Time-Distance'!$C$59,0)</f>
        <v>8.9</v>
      </c>
      <c r="AK35">
        <f>X35*$C$58+$C$57+IF(Model!$AD$23=1,'Time-Distance'!$C$59,0)</f>
        <v>9.5</v>
      </c>
      <c r="AL35">
        <f>Y35*$C$58+$C$57+IF(Model!$AD$23=1,'Time-Distance'!$C$59,0)</f>
        <v>3.5</v>
      </c>
      <c r="AM35">
        <f>Z35*$C$58+$C$57+IF(Model!$AD$23=1,'Time-Distance'!$C$59,0)</f>
        <v>7.7</v>
      </c>
    </row>
    <row r="36" spans="2:39">
      <c r="B36" t="s">
        <v>59</v>
      </c>
      <c r="C36" s="20">
        <f>VLOOKUP($B36,'Time-Distance-Raw'!$B$31:$X$42,MATCH(C$31,'Time-Distance-Raw'!$B$31:$X$31,0),FALSE)</f>
        <v>3</v>
      </c>
      <c r="D36" s="20">
        <f>VLOOKUP($B36,'Time-Distance-Raw'!$B$31:$X$42,MATCH(D$31,'Time-Distance-Raw'!$B$31:$X$31,0),FALSE)</f>
        <v>3</v>
      </c>
      <c r="E36" s="20">
        <f>VLOOKUP($B36,'Time-Distance-Raw'!$B$31:$X$42,MATCH(E$31,'Time-Distance-Raw'!$B$31:$X$31,0),FALSE)</f>
        <v>11</v>
      </c>
      <c r="F36" s="20">
        <f>VLOOKUP($B36,'Time-Distance-Raw'!$B$31:$X$42,MATCH(F$31,'Time-Distance-Raw'!$B$31:$X$31,0),FALSE)</f>
        <v>5</v>
      </c>
      <c r="G36" s="20">
        <f>VLOOKUP($B36,'Time-Distance-Raw'!$B$31:$X$42,MATCH(G$31,'Time-Distance-Raw'!$B$31:$X$31,0),FALSE)</f>
        <v>0</v>
      </c>
      <c r="H36">
        <f>VLOOKUP($B36,'Time-Distance-Raw'!$B$31:$X$42,MATCH(H$31,'Time-Distance-Raw'!$B$31:$X$31,0),FALSE)</f>
        <v>4</v>
      </c>
      <c r="I36">
        <f>VLOOKUP($B36,'Time-Distance-Raw'!$B$31:$X$42,MATCH(I$31,'Time-Distance-Raw'!$B$31:$X$31,0),FALSE)</f>
        <v>6</v>
      </c>
      <c r="J36">
        <f>VLOOKUP($B36,'Time-Distance-Raw'!$B$31:$X$42,MATCH(J$31,'Time-Distance-Raw'!$B$31:$X$31,0),FALSE)</f>
        <v>9</v>
      </c>
      <c r="K36">
        <f>VLOOKUP($B36,'Time-Distance-Raw'!$B$31:$X$42,MATCH(K$31,'Time-Distance-Raw'!$B$31:$X$31,0),FALSE)</f>
        <v>11</v>
      </c>
      <c r="L36">
        <f>VLOOKUP($B36,'Time-Distance-Raw'!$B$31:$X$42,MATCH(L$31,'Time-Distance-Raw'!$B$31:$X$31,0),FALSE)</f>
        <v>3</v>
      </c>
      <c r="M36">
        <f>VLOOKUP($B36,'Time-Distance-Raw'!$B$31:$X$42,MATCH(M$31,'Time-Distance-Raw'!$B$31:$X$31,0),FALSE)</f>
        <v>9</v>
      </c>
      <c r="O36" t="s">
        <v>59</v>
      </c>
      <c r="P36" s="20">
        <f>VLOOKUP($B36,'Time-Distance-Raw'!$B$31:$X$42,MATCH(P$31,'Time-Distance-Raw'!$B$31:$X$31,0)+1,FALSE)</f>
        <v>0.9</v>
      </c>
      <c r="Q36" s="20">
        <f>VLOOKUP($B36,'Time-Distance-Raw'!$B$31:$X$42,MATCH(Q$31,'Time-Distance-Raw'!$B$31:$X$31,0)+1,FALSE)</f>
        <v>0.6</v>
      </c>
      <c r="R36" s="20">
        <f>VLOOKUP($B36,'Time-Distance-Raw'!$B$31:$X$42,MATCH(R$31,'Time-Distance-Raw'!$B$31:$X$31,0)+1,FALSE)</f>
        <v>2.6</v>
      </c>
      <c r="S36" s="20">
        <f>VLOOKUP($B36,'Time-Distance-Raw'!$B$31:$X$42,MATCH(S$31,'Time-Distance-Raw'!$B$31:$X$31,0)+1,FALSE)</f>
        <v>1.6</v>
      </c>
      <c r="T36" s="20">
        <f>VLOOKUP($B36,'Time-Distance-Raw'!$B$31:$X$42,MATCH(T$31,'Time-Distance-Raw'!$B$31:$X$31,0)+1,FALSE)</f>
        <v>0</v>
      </c>
      <c r="U36">
        <f>VLOOKUP($B36,'Time-Distance-Raw'!$B$31:$X$42,MATCH(U$31,'Time-Distance-Raw'!$B$31:$X$31,0)+1,FALSE)</f>
        <v>0.7</v>
      </c>
      <c r="V36">
        <f>VLOOKUP($B36,'Time-Distance-Raw'!$B$31:$X$42,MATCH(V$31,'Time-Distance-Raw'!$B$31:$X$31,0)+1,FALSE)</f>
        <v>1.8</v>
      </c>
      <c r="W36">
        <f>VLOOKUP($B36,'Time-Distance-Raw'!$B$31:$X$42,MATCH(W$31,'Time-Distance-Raw'!$B$31:$X$31,0)+1,FALSE)</f>
        <v>2.2000000000000002</v>
      </c>
      <c r="X36">
        <f>VLOOKUP($B36,'Time-Distance-Raw'!$B$31:$X$42,MATCH(X$31,'Time-Distance-Raw'!$B$31:$X$31,0)+1,FALSE)</f>
        <v>3.7</v>
      </c>
      <c r="Y36">
        <f>VLOOKUP($B36,'Time-Distance-Raw'!$B$31:$X$42,MATCH(Y$31,'Time-Distance-Raw'!$B$31:$X$31,0)+1,FALSE)</f>
        <v>1.1000000000000001</v>
      </c>
      <c r="Z36">
        <f>VLOOKUP($B36,'Time-Distance-Raw'!$B$31:$X$42,MATCH(Z$31,'Time-Distance-Raw'!$B$31:$X$31,0)+1,FALSE)</f>
        <v>2</v>
      </c>
      <c r="AB36" t="s">
        <v>59</v>
      </c>
      <c r="AC36" s="20">
        <f>P36*$C$58+$C$57+IF(Model!$AD$23=1,'Time-Distance'!$C$59,0)</f>
        <v>4.3</v>
      </c>
      <c r="AD36" s="20">
        <f>Q36*$C$58+$C$57+IF(Model!$AD$23=1,'Time-Distance'!$C$59,0)</f>
        <v>3.7</v>
      </c>
      <c r="AE36" s="20">
        <f>R36*$C$58+$C$57+IF(Model!$AD$23=1,'Time-Distance'!$C$59,0)</f>
        <v>7.7</v>
      </c>
      <c r="AF36" s="20">
        <f>S36*$C$58+$C$57+IF(Model!$AD$23=1,'Time-Distance'!$C$59,0)</f>
        <v>5.7</v>
      </c>
      <c r="AG36" s="20">
        <f>T36*$C$58+$C$57+IF(Model!$AD$23=1,'Time-Distance'!$C$59,0)</f>
        <v>2.5</v>
      </c>
      <c r="AH36">
        <f>U36*$C$58+$C$57+IF(Model!$AD$23=1,'Time-Distance'!$C$59,0)</f>
        <v>3.9</v>
      </c>
      <c r="AI36">
        <f>V36*$C$58+$C$57+IF(Model!$AD$23=1,'Time-Distance'!$C$59,0)</f>
        <v>6.1</v>
      </c>
      <c r="AJ36">
        <f>W36*$C$58+$C$57+IF(Model!$AD$23=1,'Time-Distance'!$C$59,0)</f>
        <v>6.9</v>
      </c>
      <c r="AK36">
        <f>X36*$C$58+$C$57+IF(Model!$AD$23=1,'Time-Distance'!$C$59,0)</f>
        <v>9.9</v>
      </c>
      <c r="AL36">
        <f>Y36*$C$58+$C$57+IF(Model!$AD$23=1,'Time-Distance'!$C$59,0)</f>
        <v>4.7</v>
      </c>
      <c r="AM36">
        <f>Z36*$C$58+$C$57+IF(Model!$AD$23=1,'Time-Distance'!$C$59,0)</f>
        <v>6.5</v>
      </c>
    </row>
    <row r="37" spans="2:39">
      <c r="B37" t="s">
        <v>60</v>
      </c>
      <c r="C37" s="20">
        <f>VLOOKUP($B37,'Time-Distance-Raw'!$B$31:$X$42,MATCH(C$31,'Time-Distance-Raw'!$B$31:$X$31,0),FALSE)</f>
        <v>6</v>
      </c>
      <c r="D37" s="20">
        <f>VLOOKUP($B37,'Time-Distance-Raw'!$B$31:$X$42,MATCH(D$31,'Time-Distance-Raw'!$B$31:$X$31,0),FALSE)</f>
        <v>4</v>
      </c>
      <c r="E37" s="20">
        <f>VLOOKUP($B37,'Time-Distance-Raw'!$B$31:$X$42,MATCH(E$31,'Time-Distance-Raw'!$B$31:$X$31,0),FALSE)</f>
        <v>13</v>
      </c>
      <c r="F37" s="20">
        <f>VLOOKUP($B37,'Time-Distance-Raw'!$B$31:$X$42,MATCH(F$31,'Time-Distance-Raw'!$B$31:$X$31,0),FALSE)</f>
        <v>4</v>
      </c>
      <c r="G37" s="20">
        <f>VLOOKUP($B37,'Time-Distance-Raw'!$B$31:$X$42,MATCH(G$31,'Time-Distance-Raw'!$B$31:$X$31,0),FALSE)</f>
        <v>4</v>
      </c>
      <c r="H37" s="20">
        <f>VLOOKUP($B37,'Time-Distance-Raw'!$B$31:$X$42,MATCH(H$31,'Time-Distance-Raw'!$B$31:$X$31,0),FALSE)</f>
        <v>0</v>
      </c>
      <c r="I37">
        <f>VLOOKUP($B37,'Time-Distance-Raw'!$B$31:$X$42,MATCH(I$31,'Time-Distance-Raw'!$B$31:$X$31,0),FALSE)</f>
        <v>9</v>
      </c>
      <c r="J37">
        <f>VLOOKUP($B37,'Time-Distance-Raw'!$B$31:$X$42,MATCH(J$31,'Time-Distance-Raw'!$B$31:$X$31,0),FALSE)</f>
        <v>11</v>
      </c>
      <c r="K37">
        <f>VLOOKUP($B37,'Time-Distance-Raw'!$B$31:$X$42,MATCH(K$31,'Time-Distance-Raw'!$B$31:$X$31,0),FALSE)</f>
        <v>13</v>
      </c>
      <c r="L37">
        <f>VLOOKUP($B37,'Time-Distance-Raw'!$B$31:$X$42,MATCH(L$31,'Time-Distance-Raw'!$B$31:$X$31,0),FALSE)</f>
        <v>0.4</v>
      </c>
      <c r="M37">
        <f>VLOOKUP($B37,'Time-Distance-Raw'!$B$31:$X$42,MATCH(M$31,'Time-Distance-Raw'!$B$31:$X$31,0),FALSE)</f>
        <v>10</v>
      </c>
      <c r="O37" t="s">
        <v>60</v>
      </c>
      <c r="P37" s="20">
        <f>VLOOKUP($B37,'Time-Distance-Raw'!$B$31:$X$42,MATCH(P$31,'Time-Distance-Raw'!$B$31:$X$31,0)+1,FALSE)</f>
        <v>1.7</v>
      </c>
      <c r="Q37" s="20">
        <f>VLOOKUP($B37,'Time-Distance-Raw'!$B$31:$X$42,MATCH(Q$31,'Time-Distance-Raw'!$B$31:$X$31,0)+1,FALSE)</f>
        <v>1.1000000000000001</v>
      </c>
      <c r="R37" s="20">
        <f>VLOOKUP($B37,'Time-Distance-Raw'!$B$31:$X$42,MATCH(R$31,'Time-Distance-Raw'!$B$31:$X$31,0)+1,FALSE)</f>
        <v>3.4</v>
      </c>
      <c r="S37" s="20">
        <f>VLOOKUP($B37,'Time-Distance-Raw'!$B$31:$X$42,MATCH(S$31,'Time-Distance-Raw'!$B$31:$X$31,0)+1,FALSE)</f>
        <v>0.9</v>
      </c>
      <c r="T37" s="20">
        <f>VLOOKUP($B37,'Time-Distance-Raw'!$B$31:$X$42,MATCH(T$31,'Time-Distance-Raw'!$B$31:$X$31,0)+1,FALSE)</f>
        <v>0.7</v>
      </c>
      <c r="U37" s="20">
        <f>VLOOKUP($B37,'Time-Distance-Raw'!$B$31:$X$42,MATCH(U$31,'Time-Distance-Raw'!$B$31:$X$31,0)+1,FALSE)</f>
        <v>0</v>
      </c>
      <c r="V37">
        <f>VLOOKUP($B37,'Time-Distance-Raw'!$B$31:$X$42,MATCH(V$31,'Time-Distance-Raw'!$B$31:$X$31,0)+1,FALSE)</f>
        <v>2.6</v>
      </c>
      <c r="W37">
        <f>VLOOKUP($B37,'Time-Distance-Raw'!$B$31:$X$42,MATCH(W$31,'Time-Distance-Raw'!$B$31:$X$31,0)+1,FALSE)</f>
        <v>3</v>
      </c>
      <c r="X37">
        <f>VLOOKUP($B37,'Time-Distance-Raw'!$B$31:$X$42,MATCH(X$31,'Time-Distance-Raw'!$B$31:$X$31,0)+1,FALSE)</f>
        <v>4.4000000000000004</v>
      </c>
      <c r="Y37">
        <f>VLOOKUP($B37,'Time-Distance-Raw'!$B$31:$X$42,MATCH(Y$31,'Time-Distance-Raw'!$B$31:$X$31,0)+1,FALSE)</f>
        <v>2</v>
      </c>
      <c r="Z37">
        <f>VLOOKUP($B37,'Time-Distance-Raw'!$B$31:$X$42,MATCH(Z$31,'Time-Distance-Raw'!$B$31:$X$31,0)+1,FALSE)</f>
        <v>2.7</v>
      </c>
      <c r="AB37" t="s">
        <v>60</v>
      </c>
      <c r="AC37" s="20">
        <f>P37*$C$58+$C$57+IF(Model!$AD$23=1,'Time-Distance'!$C$59,0)</f>
        <v>5.9</v>
      </c>
      <c r="AD37" s="20">
        <f>Q37*$C$58+$C$57+IF(Model!$AD$23=1,'Time-Distance'!$C$59,0)</f>
        <v>4.7</v>
      </c>
      <c r="AE37" s="20">
        <f>R37*$C$58+$C$57+IF(Model!$AD$23=1,'Time-Distance'!$C$59,0)</f>
        <v>9.3000000000000007</v>
      </c>
      <c r="AF37" s="20">
        <f>S37*$C$58+$C$57+IF(Model!$AD$23=1,'Time-Distance'!$C$59,0)</f>
        <v>4.3</v>
      </c>
      <c r="AG37" s="20">
        <f>T37*$C$58+$C$57+IF(Model!$AD$23=1,'Time-Distance'!$C$59,0)</f>
        <v>3.9</v>
      </c>
      <c r="AH37" s="20">
        <f>U37*$C$58+$C$57+IF(Model!$AD$23=1,'Time-Distance'!$C$59,0)</f>
        <v>2.5</v>
      </c>
      <c r="AI37">
        <f>V37*$C$58+$C$57+IF(Model!$AD$23=1,'Time-Distance'!$C$59,0)</f>
        <v>7.7</v>
      </c>
      <c r="AJ37">
        <f>W37*$C$58+$C$57+IF(Model!$AD$23=1,'Time-Distance'!$C$59,0)</f>
        <v>8.5</v>
      </c>
      <c r="AK37">
        <f>X37*$C$58+$C$57+IF(Model!$AD$23=1,'Time-Distance'!$C$59,0)</f>
        <v>11.3</v>
      </c>
      <c r="AL37">
        <f>Y37*$C$58+$C$57+IF(Model!$AD$23=1,'Time-Distance'!$C$59,0)</f>
        <v>6.5</v>
      </c>
      <c r="AM37">
        <f>Z37*$C$58+$C$57+IF(Model!$AD$23=1,'Time-Distance'!$C$59,0)</f>
        <v>7.9</v>
      </c>
    </row>
    <row r="38" spans="2:39">
      <c r="B38" t="s">
        <v>13</v>
      </c>
      <c r="C38" s="20">
        <f>VLOOKUP($B38,'Time-Distance-Raw'!$B$31:$X$42,MATCH(C$31,'Time-Distance-Raw'!$B$31:$X$31,0),FALSE)</f>
        <v>3</v>
      </c>
      <c r="D38" s="20">
        <f>VLOOKUP($B38,'Time-Distance-Raw'!$B$31:$X$42,MATCH(D$31,'Time-Distance-Raw'!$B$31:$X$31,0),FALSE)</f>
        <v>8</v>
      </c>
      <c r="E38" s="20">
        <f>VLOOKUP($B38,'Time-Distance-Raw'!$B$31:$X$42,MATCH(E$31,'Time-Distance-Raw'!$B$31:$X$31,0),FALSE)</f>
        <v>7</v>
      </c>
      <c r="F38" s="20">
        <f>VLOOKUP($B38,'Time-Distance-Raw'!$B$31:$X$42,MATCH(F$31,'Time-Distance-Raw'!$B$31:$X$31,0),FALSE)</f>
        <v>6</v>
      </c>
      <c r="G38" s="20">
        <f>VLOOKUP($B38,'Time-Distance-Raw'!$B$31:$X$42,MATCH(G$31,'Time-Distance-Raw'!$B$31:$X$31,0),FALSE)</f>
        <v>6</v>
      </c>
      <c r="H38" s="20">
        <f>VLOOKUP($B38,'Time-Distance-Raw'!$B$31:$X$42,MATCH(H$31,'Time-Distance-Raw'!$B$31:$X$31,0),FALSE)</f>
        <v>9</v>
      </c>
      <c r="I38" s="45">
        <f>VLOOKUP($B38,'Time-Distance-Raw'!$B$31:$X$42,MATCH(I$31,'Time-Distance-Raw'!$B$31:$X$31,0),FALSE)</f>
        <v>0</v>
      </c>
      <c r="J38">
        <f>VLOOKUP($B38,'Time-Distance-Raw'!$B$31:$X$42,MATCH(J$31,'Time-Distance-Raw'!$B$31:$X$31,0),FALSE)</f>
        <v>7</v>
      </c>
      <c r="K38">
        <f>VLOOKUP($B38,'Time-Distance-Raw'!$B$31:$X$42,MATCH(K$31,'Time-Distance-Raw'!$B$31:$X$31,0),FALSE)</f>
        <v>8</v>
      </c>
      <c r="L38">
        <f>VLOOKUP($B38,'Time-Distance-Raw'!$B$31:$X$42,MATCH(L$31,'Time-Distance-Raw'!$B$31:$X$31,0),FALSE)</f>
        <v>8</v>
      </c>
      <c r="M38">
        <f>VLOOKUP($B38,'Time-Distance-Raw'!$B$31:$X$42,MATCH(M$31,'Time-Distance-Raw'!$B$31:$X$31,0),FALSE)</f>
        <v>5</v>
      </c>
      <c r="O38" t="s">
        <v>13</v>
      </c>
      <c r="P38" s="20">
        <f>VLOOKUP($B38,'Time-Distance-Raw'!$B$31:$X$42,MATCH(P$31,'Time-Distance-Raw'!$B$31:$X$31,0)+1,FALSE)</f>
        <v>0.9</v>
      </c>
      <c r="Q38" s="20">
        <f>VLOOKUP($B38,'Time-Distance-Raw'!$B$31:$X$42,MATCH(Q$31,'Time-Distance-Raw'!$B$31:$X$31,0)+1,FALSE)</f>
        <v>2.2000000000000002</v>
      </c>
      <c r="R38" s="20">
        <f>VLOOKUP($B38,'Time-Distance-Raw'!$B$31:$X$42,MATCH(R$31,'Time-Distance-Raw'!$B$31:$X$31,0)+1,FALSE)</f>
        <v>1.5</v>
      </c>
      <c r="S38" s="20">
        <f>VLOOKUP($B38,'Time-Distance-Raw'!$B$31:$X$42,MATCH(S$31,'Time-Distance-Raw'!$B$31:$X$31,0)+1,FALSE)</f>
        <v>1.9</v>
      </c>
      <c r="T38" s="20">
        <f>VLOOKUP($B38,'Time-Distance-Raw'!$B$31:$X$42,MATCH(T$31,'Time-Distance-Raw'!$B$31:$X$31,0)+1,FALSE)</f>
        <v>1.8</v>
      </c>
      <c r="U38" s="20">
        <f>VLOOKUP($B38,'Time-Distance-Raw'!$B$31:$X$42,MATCH(U$31,'Time-Distance-Raw'!$B$31:$X$31,0)+1,FALSE)</f>
        <v>2.6</v>
      </c>
      <c r="V38" s="45">
        <f>VLOOKUP($B38,'Time-Distance-Raw'!$B$31:$X$42,MATCH(V$31,'Time-Distance-Raw'!$B$31:$X$31,0)+1,FALSE)</f>
        <v>0</v>
      </c>
      <c r="W38">
        <f>VLOOKUP($B38,'Time-Distance-Raw'!$B$31:$X$42,MATCH(W$31,'Time-Distance-Raw'!$B$31:$X$31,0)+1,FALSE)</f>
        <v>1.4</v>
      </c>
      <c r="X38">
        <f>VLOOKUP($B38,'Time-Distance-Raw'!$B$31:$X$42,MATCH(X$31,'Time-Distance-Raw'!$B$31:$X$31,0)+1,FALSE)</f>
        <v>2.2999999999999998</v>
      </c>
      <c r="Y38">
        <f>VLOOKUP($B38,'Time-Distance-Raw'!$B$31:$X$42,MATCH(Y$31,'Time-Distance-Raw'!$B$31:$X$31,0)+1,FALSE)</f>
        <v>2.2000000000000002</v>
      </c>
      <c r="Z38">
        <f>VLOOKUP($B38,'Time-Distance-Raw'!$B$31:$X$42,MATCH(Z$31,'Time-Distance-Raw'!$B$31:$X$31,0)+1,FALSE)</f>
        <v>0.8</v>
      </c>
      <c r="AB38" t="s">
        <v>13</v>
      </c>
      <c r="AC38" s="20">
        <f>P38*$C$58+$C$57+IF(Model!$AD$23=1,'Time-Distance'!$C$59,0)</f>
        <v>4.3</v>
      </c>
      <c r="AD38" s="20">
        <f>Q38*$C$58+$C$57+IF(Model!$AD$23=1,'Time-Distance'!$C$59,0)</f>
        <v>6.9</v>
      </c>
      <c r="AE38" s="20">
        <f>R38*$C$58+$C$57+IF(Model!$AD$23=1,'Time-Distance'!$C$59,0)</f>
        <v>5.5</v>
      </c>
      <c r="AF38" s="20">
        <f>S38*$C$58+$C$57+IF(Model!$AD$23=1,'Time-Distance'!$C$59,0)</f>
        <v>6.3</v>
      </c>
      <c r="AG38" s="20">
        <f>T38*$C$58+$C$57+IF(Model!$AD$23=1,'Time-Distance'!$C$59,0)</f>
        <v>6.1</v>
      </c>
      <c r="AH38" s="20">
        <f>U38*$C$58+$C$57+IF(Model!$AD$23=1,'Time-Distance'!$C$59,0)</f>
        <v>7.7</v>
      </c>
      <c r="AI38" s="45">
        <f>V38*$C$58+$C$57+IF(Model!$AD$23=1,'Time-Distance'!$C$59,0)</f>
        <v>2.5</v>
      </c>
      <c r="AJ38">
        <f>W38*$C$58+$C$57+IF(Model!$AD$23=1,'Time-Distance'!$C$59,0)</f>
        <v>5.3</v>
      </c>
      <c r="AK38">
        <f>X38*$C$58+$C$57+IF(Model!$AD$23=1,'Time-Distance'!$C$59,0)</f>
        <v>7.1</v>
      </c>
      <c r="AL38">
        <f>Y38*$C$58+$C$57+IF(Model!$AD$23=1,'Time-Distance'!$C$59,0)</f>
        <v>6.9</v>
      </c>
      <c r="AM38">
        <f>Z38*$C$58+$C$57+IF(Model!$AD$23=1,'Time-Distance'!$C$59,0)</f>
        <v>4.0999999999999996</v>
      </c>
    </row>
    <row r="39" spans="2:39">
      <c r="B39" t="s">
        <v>15</v>
      </c>
      <c r="C39" s="20">
        <f>VLOOKUP($B39,'Time-Distance-Raw'!$B$31:$X$42,MATCH(C$31,'Time-Distance-Raw'!$B$31:$X$31,0),FALSE)</f>
        <v>8</v>
      </c>
      <c r="D39" s="20">
        <f>VLOOKUP($B39,'Time-Distance-Raw'!$B$31:$X$42,MATCH(D$31,'Time-Distance-Raw'!$B$31:$X$31,0),FALSE)</f>
        <v>8</v>
      </c>
      <c r="E39" s="20">
        <f>VLOOKUP($B39,'Time-Distance-Raw'!$B$31:$X$42,MATCH(E$31,'Time-Distance-Raw'!$B$31:$X$31,0),FALSE)</f>
        <v>6</v>
      </c>
      <c r="F39" s="20">
        <f>VLOOKUP($B39,'Time-Distance-Raw'!$B$31:$X$42,MATCH(F$31,'Time-Distance-Raw'!$B$31:$X$31,0),FALSE)</f>
        <v>12</v>
      </c>
      <c r="G39" s="20">
        <f>VLOOKUP($B39,'Time-Distance-Raw'!$B$31:$X$42,MATCH(G$31,'Time-Distance-Raw'!$B$31:$X$31,0),FALSE)</f>
        <v>9</v>
      </c>
      <c r="H39" s="20">
        <f>VLOOKUP($B39,'Time-Distance-Raw'!$B$31:$X$42,MATCH(H$31,'Time-Distance-Raw'!$B$31:$X$31,0),FALSE)</f>
        <v>11</v>
      </c>
      <c r="I39" s="45">
        <f>VLOOKUP($B39,'Time-Distance-Raw'!$B$31:$X$42,MATCH(I$31,'Time-Distance-Raw'!$B$31:$X$31,0),FALSE)</f>
        <v>7</v>
      </c>
      <c r="J39" s="45">
        <f>VLOOKUP($B39,'Time-Distance-Raw'!$B$31:$X$42,MATCH(J$31,'Time-Distance-Raw'!$B$31:$X$31,0),FALSE)</f>
        <v>0</v>
      </c>
      <c r="K39">
        <f>VLOOKUP($B39,'Time-Distance-Raw'!$B$31:$X$42,MATCH(K$31,'Time-Distance-Raw'!$B$31:$X$31,0),FALSE)</f>
        <v>9</v>
      </c>
      <c r="L39">
        <f>VLOOKUP($B39,'Time-Distance-Raw'!$B$31:$X$42,MATCH(L$31,'Time-Distance-Raw'!$B$31:$X$31,0),FALSE)</f>
        <v>11</v>
      </c>
      <c r="M39">
        <f>VLOOKUP($B39,'Time-Distance-Raw'!$B$31:$X$42,MATCH(M$31,'Time-Distance-Raw'!$B$31:$X$31,0),FALSE)</f>
        <v>5</v>
      </c>
      <c r="O39" t="s">
        <v>15</v>
      </c>
      <c r="P39" s="20">
        <f>VLOOKUP($B39,'Time-Distance-Raw'!$B$31:$X$42,MATCH(P$31,'Time-Distance-Raw'!$B$31:$X$31,0)+1,FALSE)</f>
        <v>1.9</v>
      </c>
      <c r="Q39" s="20">
        <f>VLOOKUP($B39,'Time-Distance-Raw'!$B$31:$X$42,MATCH(Q$31,'Time-Distance-Raw'!$B$31:$X$31,0)+1,FALSE)</f>
        <v>1.9</v>
      </c>
      <c r="R39" s="20">
        <f>VLOOKUP($B39,'Time-Distance-Raw'!$B$31:$X$42,MATCH(R$31,'Time-Distance-Raw'!$B$31:$X$31,0)+1,FALSE)</f>
        <v>1.1000000000000001</v>
      </c>
      <c r="S39" s="20">
        <f>VLOOKUP($B39,'Time-Distance-Raw'!$B$31:$X$42,MATCH(S$31,'Time-Distance-Raw'!$B$31:$X$31,0)+1,FALSE)</f>
        <v>3.2</v>
      </c>
      <c r="T39" s="20">
        <f>VLOOKUP($B39,'Time-Distance-Raw'!$B$31:$X$42,MATCH(T$31,'Time-Distance-Raw'!$B$31:$X$31,0)+1,FALSE)</f>
        <v>2.2000000000000002</v>
      </c>
      <c r="U39" s="20">
        <f>VLOOKUP($B39,'Time-Distance-Raw'!$B$31:$X$42,MATCH(U$31,'Time-Distance-Raw'!$B$31:$X$31,0)+1,FALSE)</f>
        <v>3</v>
      </c>
      <c r="V39" s="45">
        <f>VLOOKUP($B39,'Time-Distance-Raw'!$B$31:$X$42,MATCH(V$31,'Time-Distance-Raw'!$B$31:$X$31,0)+1,FALSE)</f>
        <v>1.4</v>
      </c>
      <c r="W39" s="45">
        <f>VLOOKUP($B39,'Time-Distance-Raw'!$B$31:$X$42,MATCH(W$31,'Time-Distance-Raw'!$B$31:$X$31,0)+1,FALSE)</f>
        <v>0</v>
      </c>
      <c r="X39">
        <f>VLOOKUP($B39,'Time-Distance-Raw'!$B$31:$X$42,MATCH(X$31,'Time-Distance-Raw'!$B$31:$X$31,0)+1,FALSE)</f>
        <v>2.8</v>
      </c>
      <c r="Y39">
        <f>VLOOKUP($B39,'Time-Distance-Raw'!$B$31:$X$42,MATCH(Y$31,'Time-Distance-Raw'!$B$31:$X$31,0)+1,FALSE)</f>
        <v>3</v>
      </c>
      <c r="Z39">
        <f>VLOOKUP($B39,'Time-Distance-Raw'!$B$31:$X$42,MATCH(Z$31,'Time-Distance-Raw'!$B$31:$X$31,0)+1,FALSE)</f>
        <v>1</v>
      </c>
      <c r="AB39" t="s">
        <v>15</v>
      </c>
      <c r="AC39" s="20">
        <f>P39*$C$58+$C$57+IF(Model!$AD$23=1,'Time-Distance'!$C$59,0)</f>
        <v>6.3</v>
      </c>
      <c r="AD39" s="20">
        <f>Q39*$C$58+$C$57+IF(Model!$AD$23=1,'Time-Distance'!$C$59,0)</f>
        <v>6.3</v>
      </c>
      <c r="AE39" s="20">
        <f>R39*$C$58+$C$57+IF(Model!$AD$23=1,'Time-Distance'!$C$59,0)</f>
        <v>4.7</v>
      </c>
      <c r="AF39" s="20">
        <f>S39*$C$58+$C$57+IF(Model!$AD$23=1,'Time-Distance'!$C$59,0)</f>
        <v>8.9</v>
      </c>
      <c r="AG39" s="20">
        <f>T39*$C$58+$C$57+IF(Model!$AD$23=1,'Time-Distance'!$C$59,0)</f>
        <v>6.9</v>
      </c>
      <c r="AH39" s="20">
        <f>U39*$C$58+$C$57+IF(Model!$AD$23=1,'Time-Distance'!$C$59,0)</f>
        <v>8.5</v>
      </c>
      <c r="AI39" s="45">
        <f>V39*$C$58+$C$57+IF(Model!$AD$23=1,'Time-Distance'!$C$59,0)</f>
        <v>5.3</v>
      </c>
      <c r="AJ39" s="45">
        <f>W39*$C$58+$C$57+IF(Model!$AD$23=1,'Time-Distance'!$C$59,0)</f>
        <v>2.5</v>
      </c>
      <c r="AK39">
        <f>X39*$C$58+$C$57+IF(Model!$AD$23=1,'Time-Distance'!$C$59,0)</f>
        <v>8.1</v>
      </c>
      <c r="AL39">
        <f>Y39*$C$58+$C$57+IF(Model!$AD$23=1,'Time-Distance'!$C$59,0)</f>
        <v>8.5</v>
      </c>
      <c r="AM39">
        <f>Z39*$C$58+$C$57+IF(Model!$AD$23=1,'Time-Distance'!$C$59,0)</f>
        <v>4.5</v>
      </c>
    </row>
    <row r="40" spans="2:39">
      <c r="B40" t="s">
        <v>14</v>
      </c>
      <c r="C40" s="20">
        <f>VLOOKUP($B40,'Time-Distance-Raw'!$B$31:$X$42,MATCH(C$31,'Time-Distance-Raw'!$B$31:$X$31,0),FALSE)</f>
        <v>10</v>
      </c>
      <c r="D40" s="20">
        <f>VLOOKUP($B40,'Time-Distance-Raw'!$B$31:$X$42,MATCH(D$31,'Time-Distance-Raw'!$B$31:$X$31,0),FALSE)</f>
        <v>14</v>
      </c>
      <c r="E40" s="20">
        <f>VLOOKUP($B40,'Time-Distance-Raw'!$B$31:$X$42,MATCH(E$31,'Time-Distance-Raw'!$B$31:$X$31,0),FALSE)</f>
        <v>10</v>
      </c>
      <c r="F40" s="20">
        <f>VLOOKUP($B40,'Time-Distance-Raw'!$B$31:$X$42,MATCH(F$31,'Time-Distance-Raw'!$B$31:$X$31,0),FALSE)</f>
        <v>10</v>
      </c>
      <c r="G40" s="20">
        <f>VLOOKUP($B40,'Time-Distance-Raw'!$B$31:$X$42,MATCH(G$31,'Time-Distance-Raw'!$B$31:$X$31,0),FALSE)</f>
        <v>11</v>
      </c>
      <c r="H40" s="20">
        <f>VLOOKUP($B40,'Time-Distance-Raw'!$B$31:$X$42,MATCH(H$31,'Time-Distance-Raw'!$B$31:$X$31,0),FALSE)</f>
        <v>13</v>
      </c>
      <c r="I40" s="45">
        <f>VLOOKUP($B40,'Time-Distance-Raw'!$B$31:$X$42,MATCH(I$31,'Time-Distance-Raw'!$B$31:$X$31,0),FALSE)</f>
        <v>8</v>
      </c>
      <c r="J40" s="45">
        <f>VLOOKUP($B40,'Time-Distance-Raw'!$B$31:$X$42,MATCH(J$31,'Time-Distance-Raw'!$B$31:$X$31,0),FALSE)</f>
        <v>9</v>
      </c>
      <c r="K40" s="45">
        <f>VLOOKUP($B40,'Time-Distance-Raw'!$B$31:$X$42,MATCH(K$31,'Time-Distance-Raw'!$B$31:$X$31,0),FALSE)</f>
        <v>0</v>
      </c>
      <c r="L40">
        <f>VLOOKUP($B40,'Time-Distance-Raw'!$B$31:$X$42,MATCH(L$31,'Time-Distance-Raw'!$B$31:$X$31,0),FALSE)</f>
        <v>13</v>
      </c>
      <c r="M40">
        <f>VLOOKUP($B40,'Time-Distance-Raw'!$B$31:$X$42,MATCH(M$31,'Time-Distance-Raw'!$B$31:$X$31,0),FALSE)</f>
        <v>6</v>
      </c>
      <c r="O40" t="s">
        <v>14</v>
      </c>
      <c r="P40" s="20">
        <f>VLOOKUP($B40,'Time-Distance-Raw'!$B$31:$X$42,MATCH(P$31,'Time-Distance-Raw'!$B$31:$X$31,0)+1,FALSE)</f>
        <v>3</v>
      </c>
      <c r="Q40" s="20">
        <f>VLOOKUP($B40,'Time-Distance-Raw'!$B$31:$X$42,MATCH(Q$31,'Time-Distance-Raw'!$B$31:$X$31,0)+1,FALSE)</f>
        <v>4.3</v>
      </c>
      <c r="R40" s="20">
        <f>VLOOKUP($B40,'Time-Distance-Raw'!$B$31:$X$42,MATCH(R$31,'Time-Distance-Raw'!$B$31:$X$31,0)+1,FALSE)</f>
        <v>1.9</v>
      </c>
      <c r="S40" s="20">
        <f>VLOOKUP($B40,'Time-Distance-Raw'!$B$31:$X$42,MATCH(S$31,'Time-Distance-Raw'!$B$31:$X$31,0)+1,FALSE)</f>
        <v>3.5</v>
      </c>
      <c r="T40" s="20">
        <f>VLOOKUP($B40,'Time-Distance-Raw'!$B$31:$X$42,MATCH(T$31,'Time-Distance-Raw'!$B$31:$X$31,0)+1,FALSE)</f>
        <v>3.7</v>
      </c>
      <c r="U40" s="20">
        <f>VLOOKUP($B40,'Time-Distance-Raw'!$B$31:$X$42,MATCH(U$31,'Time-Distance-Raw'!$B$31:$X$31,0)+1,FALSE)</f>
        <v>4.4000000000000004</v>
      </c>
      <c r="V40" s="45">
        <f>VLOOKUP($B40,'Time-Distance-Raw'!$B$31:$X$42,MATCH(V$31,'Time-Distance-Raw'!$B$31:$X$31,0)+1,FALSE)</f>
        <v>2.2999999999999998</v>
      </c>
      <c r="W40" s="45">
        <f>VLOOKUP($B40,'Time-Distance-Raw'!$B$31:$X$42,MATCH(W$31,'Time-Distance-Raw'!$B$31:$X$31,0)+1,FALSE)</f>
        <v>2.8</v>
      </c>
      <c r="X40" s="45">
        <f>VLOOKUP($B40,'Time-Distance-Raw'!$B$31:$X$42,MATCH(X$31,'Time-Distance-Raw'!$B$31:$X$31,0)+1,FALSE)</f>
        <v>0</v>
      </c>
      <c r="Y40">
        <f>VLOOKUP($B40,'Time-Distance-Raw'!$B$31:$X$42,MATCH(Y$31,'Time-Distance-Raw'!$B$31:$X$31,0)+1,FALSE)</f>
        <v>4</v>
      </c>
      <c r="Z40">
        <f>VLOOKUP($B40,'Time-Distance-Raw'!$B$31:$X$42,MATCH(Z$31,'Time-Distance-Raw'!$B$31:$X$31,0)+1,FALSE)</f>
        <v>2</v>
      </c>
      <c r="AB40" t="s">
        <v>14</v>
      </c>
      <c r="AC40" s="20">
        <f>P40*$C$58+$C$57+IF(Model!$AD$23=1,'Time-Distance'!$C$59,0)</f>
        <v>8.5</v>
      </c>
      <c r="AD40" s="20">
        <f>Q40*$C$58+$C$57+IF(Model!$AD$23=1,'Time-Distance'!$C$59,0)</f>
        <v>11.1</v>
      </c>
      <c r="AE40" s="20">
        <f>R40*$C$58+$C$57+IF(Model!$AD$23=1,'Time-Distance'!$C$59,0)</f>
        <v>6.3</v>
      </c>
      <c r="AF40" s="20">
        <f>S40*$C$58+$C$57+IF(Model!$AD$23=1,'Time-Distance'!$C$59,0)</f>
        <v>9.5</v>
      </c>
      <c r="AG40" s="20">
        <f>T40*$C$58+$C$57+IF(Model!$AD$23=1,'Time-Distance'!$C$59,0)</f>
        <v>9.9</v>
      </c>
      <c r="AH40" s="20">
        <f>U40*$C$58+$C$57+IF(Model!$AD$23=1,'Time-Distance'!$C$59,0)</f>
        <v>11.3</v>
      </c>
      <c r="AI40" s="45">
        <f>V40*$C$58+$C$57+IF(Model!$AD$23=1,'Time-Distance'!$C$59,0)</f>
        <v>7.1</v>
      </c>
      <c r="AJ40" s="45">
        <f>W40*$C$58+$C$57+IF(Model!$AD$23=1,'Time-Distance'!$C$59,0)</f>
        <v>8.1</v>
      </c>
      <c r="AK40" s="45">
        <f>X40*$C$58+$C$57+IF(Model!$AD$23=1,'Time-Distance'!$C$59,0)</f>
        <v>2.5</v>
      </c>
      <c r="AL40">
        <f>Y40*$C$58+$C$57+IF(Model!$AD$23=1,'Time-Distance'!$C$59,0)</f>
        <v>10.5</v>
      </c>
      <c r="AM40">
        <f>Z40*$C$58+$C$57+IF(Model!$AD$23=1,'Time-Distance'!$C$59,0)</f>
        <v>6.5</v>
      </c>
    </row>
    <row r="41" spans="2:39">
      <c r="B41" t="s">
        <v>61</v>
      </c>
      <c r="C41" s="20">
        <f>VLOOKUP($B41,'Time-Distance-Raw'!$B$31:$X$42,MATCH(C$31,'Time-Distance-Raw'!$B$31:$X$31,0),FALSE)</f>
        <v>6</v>
      </c>
      <c r="D41" s="20">
        <f>VLOOKUP($B41,'Time-Distance-Raw'!$B$31:$X$42,MATCH(D$31,'Time-Distance-Raw'!$B$31:$X$31,0),FALSE)</f>
        <v>6</v>
      </c>
      <c r="E41" s="20">
        <f>VLOOKUP($B41,'Time-Distance-Raw'!$B$31:$X$42,MATCH(E$31,'Time-Distance-Raw'!$B$31:$X$31,0),FALSE)</f>
        <v>14</v>
      </c>
      <c r="F41" s="20">
        <f>VLOOKUP($B41,'Time-Distance-Raw'!$B$31:$X$42,MATCH(F$31,'Time-Distance-Raw'!$B$31:$X$31,0),FALSE)</f>
        <v>3</v>
      </c>
      <c r="G41" s="20">
        <f>VLOOKUP($B41,'Time-Distance-Raw'!$B$31:$X$42,MATCH(G$31,'Time-Distance-Raw'!$B$31:$X$31,0),FALSE)</f>
        <v>3</v>
      </c>
      <c r="H41" s="20">
        <f>VLOOKUP($B41,'Time-Distance-Raw'!$B$31:$X$42,MATCH(H$31,'Time-Distance-Raw'!$B$31:$X$31,0),FALSE)</f>
        <v>0.4</v>
      </c>
      <c r="I41" s="45">
        <f>VLOOKUP($B41,'Time-Distance-Raw'!$B$31:$X$42,MATCH(I$31,'Time-Distance-Raw'!$B$31:$X$31,0),FALSE)</f>
        <v>8</v>
      </c>
      <c r="J41" s="45">
        <f>VLOOKUP($B41,'Time-Distance-Raw'!$B$31:$X$42,MATCH(J$31,'Time-Distance-Raw'!$B$31:$X$31,0),FALSE)</f>
        <v>11</v>
      </c>
      <c r="K41" s="45">
        <f>VLOOKUP($B41,'Time-Distance-Raw'!$B$31:$X$42,MATCH(K$31,'Time-Distance-Raw'!$B$31:$X$31,0),FALSE)</f>
        <v>13</v>
      </c>
      <c r="L41" s="45">
        <f>VLOOKUP($B41,'Time-Distance-Raw'!$B$31:$X$42,MATCH(L$31,'Time-Distance-Raw'!$B$31:$X$31,0),FALSE)</f>
        <v>0</v>
      </c>
      <c r="M41">
        <f>VLOOKUP($B41,'Time-Distance-Raw'!$B$31:$X$42,MATCH(M$31,'Time-Distance-Raw'!$B$31:$X$31,0),FALSE)</f>
        <v>8</v>
      </c>
      <c r="O41" t="s">
        <v>61</v>
      </c>
      <c r="P41" s="20">
        <f>VLOOKUP($B41,'Time-Distance-Raw'!$B$31:$X$42,MATCH(P$31,'Time-Distance-Raw'!$B$31:$X$31,0)+1,FALSE)</f>
        <v>1.7</v>
      </c>
      <c r="Q41" s="20">
        <f>VLOOKUP($B41,'Time-Distance-Raw'!$B$31:$X$42,MATCH(Q$31,'Time-Distance-Raw'!$B$31:$X$31,0)+1,FALSE)</f>
        <v>1.2</v>
      </c>
      <c r="R41" s="20">
        <f>VLOOKUP($B41,'Time-Distance-Raw'!$B$31:$X$42,MATCH(R$31,'Time-Distance-Raw'!$B$31:$X$31,0)+1,FALSE)</f>
        <v>3.4</v>
      </c>
      <c r="S41" s="20">
        <f>VLOOKUP($B41,'Time-Distance-Raw'!$B$31:$X$42,MATCH(S$31,'Time-Distance-Raw'!$B$31:$X$31,0)+1,FALSE)</f>
        <v>0.5</v>
      </c>
      <c r="T41" s="20">
        <f>VLOOKUP($B41,'Time-Distance-Raw'!$B$31:$X$42,MATCH(T$31,'Time-Distance-Raw'!$B$31:$X$31,0)+1,FALSE)</f>
        <v>1.1000000000000001</v>
      </c>
      <c r="U41" s="20">
        <f>VLOOKUP($B41,'Time-Distance-Raw'!$B$31:$X$42,MATCH(U$31,'Time-Distance-Raw'!$B$31:$X$31,0)+1,FALSE)</f>
        <v>2</v>
      </c>
      <c r="V41" s="45">
        <f>VLOOKUP($B41,'Time-Distance-Raw'!$B$31:$X$42,MATCH(V$31,'Time-Distance-Raw'!$B$31:$X$31,0)+1,FALSE)</f>
        <v>2.2000000000000002</v>
      </c>
      <c r="W41" s="45">
        <f>VLOOKUP($B41,'Time-Distance-Raw'!$B$31:$X$42,MATCH(W$31,'Time-Distance-Raw'!$B$31:$X$31,0)+1,FALSE)</f>
        <v>3</v>
      </c>
      <c r="X41" s="45">
        <f>VLOOKUP($B41,'Time-Distance-Raw'!$B$31:$X$42,MATCH(X$31,'Time-Distance-Raw'!$B$31:$X$31,0)+1,FALSE)</f>
        <v>4</v>
      </c>
      <c r="Y41" s="45">
        <f>VLOOKUP($B41,'Time-Distance-Raw'!$B$31:$X$42,MATCH(Y$31,'Time-Distance-Raw'!$B$31:$X$31,0)+1,FALSE)</f>
        <v>0</v>
      </c>
      <c r="Z41">
        <f>VLOOKUP($B41,'Time-Distance-Raw'!$B$31:$X$42,MATCH(Z$31,'Time-Distance-Raw'!$B$31:$X$31,0)+1,FALSE)</f>
        <v>2.4</v>
      </c>
      <c r="AB41" t="s">
        <v>61</v>
      </c>
      <c r="AC41" s="20">
        <f>P41*$C$58+$C$57+IF(Model!$AD$23=1,'Time-Distance'!$C$59,0)</f>
        <v>5.9</v>
      </c>
      <c r="AD41" s="20">
        <f>Q41*$C$58+$C$57+IF(Model!$AD$23=1,'Time-Distance'!$C$59,0)</f>
        <v>4.9000000000000004</v>
      </c>
      <c r="AE41" s="20">
        <f>R41*$C$58+$C$57+IF(Model!$AD$23=1,'Time-Distance'!$C$59,0)</f>
        <v>9.3000000000000007</v>
      </c>
      <c r="AF41" s="20">
        <f>S41*$C$58+$C$57+IF(Model!$AD$23=1,'Time-Distance'!$C$59,0)</f>
        <v>3.5</v>
      </c>
      <c r="AG41" s="20">
        <f>T41*$C$58+$C$57+IF(Model!$AD$23=1,'Time-Distance'!$C$59,0)</f>
        <v>4.7</v>
      </c>
      <c r="AH41" s="20">
        <f>U41*$C$58+$C$57+IF(Model!$AD$23=1,'Time-Distance'!$C$59,0)</f>
        <v>6.5</v>
      </c>
      <c r="AI41" s="45">
        <f>V41*$C$58+$C$57+IF(Model!$AD$23=1,'Time-Distance'!$C$59,0)</f>
        <v>6.9</v>
      </c>
      <c r="AJ41" s="45">
        <f>W41*$C$58+$C$57+IF(Model!$AD$23=1,'Time-Distance'!$C$59,0)</f>
        <v>8.5</v>
      </c>
      <c r="AK41" s="45">
        <f>X41*$C$58+$C$57+IF(Model!$AD$23=1,'Time-Distance'!$C$59,0)</f>
        <v>10.5</v>
      </c>
      <c r="AL41" s="45">
        <f>Y41*$C$58+$C$57+IF(Model!$AD$23=1,'Time-Distance'!$C$59,0)</f>
        <v>2.5</v>
      </c>
      <c r="AM41">
        <f>Z41*$C$58+$C$57+IF(Model!$AD$23=1,'Time-Distance'!$C$59,0)</f>
        <v>7.3</v>
      </c>
    </row>
    <row r="42" spans="2:39">
      <c r="B42" t="s">
        <v>62</v>
      </c>
      <c r="C42" s="20">
        <f>VLOOKUP($B42,'Time-Distance-Raw'!$B$31:$X$42,MATCH(C$31,'Time-Distance-Raw'!$B$31:$X$31,0),FALSE)</f>
        <v>6</v>
      </c>
      <c r="D42" s="20">
        <f>VLOOKUP($B42,'Time-Distance-Raw'!$B$31:$X$42,MATCH(D$31,'Time-Distance-Raw'!$B$31:$X$31,0),FALSE)</f>
        <v>9</v>
      </c>
      <c r="E42" s="20">
        <f>VLOOKUP($B42,'Time-Distance-Raw'!$B$31:$X$42,MATCH(E$31,'Time-Distance-Raw'!$B$31:$X$31,0),FALSE)</f>
        <v>8</v>
      </c>
      <c r="F42" s="20">
        <f>VLOOKUP($B42,'Time-Distance-Raw'!$B$31:$X$42,MATCH(F$31,'Time-Distance-Raw'!$B$31:$X$31,0),FALSE)</f>
        <v>9</v>
      </c>
      <c r="G42" s="20">
        <f>VLOOKUP($B42,'Time-Distance-Raw'!$B$31:$X$42,MATCH(G$31,'Time-Distance-Raw'!$B$31:$X$31,0),FALSE)</f>
        <v>9</v>
      </c>
      <c r="H42" s="20">
        <f>VLOOKUP($B42,'Time-Distance-Raw'!$B$31:$X$42,MATCH(H$31,'Time-Distance-Raw'!$B$31:$X$31,0),FALSE)</f>
        <v>10</v>
      </c>
      <c r="I42" s="45">
        <f>VLOOKUP($B42,'Time-Distance-Raw'!$B$31:$X$42,MATCH(I$31,'Time-Distance-Raw'!$B$31:$X$31,0),FALSE)</f>
        <v>5</v>
      </c>
      <c r="J42" s="45">
        <f>VLOOKUP($B42,'Time-Distance-Raw'!$B$31:$X$42,MATCH(J$31,'Time-Distance-Raw'!$B$31:$X$31,0),FALSE)</f>
        <v>5</v>
      </c>
      <c r="K42" s="45">
        <f>VLOOKUP($B42,'Time-Distance-Raw'!$B$31:$X$42,MATCH(K$31,'Time-Distance-Raw'!$B$31:$X$31,0),FALSE)</f>
        <v>6</v>
      </c>
      <c r="L42" s="45">
        <f>VLOOKUP($B42,'Time-Distance-Raw'!$B$31:$X$42,MATCH(L$31,'Time-Distance-Raw'!$B$31:$X$31,0),FALSE)</f>
        <v>8</v>
      </c>
      <c r="M42" s="45">
        <f>VLOOKUP($B42,'Time-Distance-Raw'!$B$31:$X$42,MATCH(M$31,'Time-Distance-Raw'!$B$31:$X$31,0),FALSE)</f>
        <v>0</v>
      </c>
      <c r="O42" t="s">
        <v>62</v>
      </c>
      <c r="P42" s="20">
        <f>VLOOKUP($B42,'Time-Distance-Raw'!$B$31:$X$42,MATCH(P$31,'Time-Distance-Raw'!$B$31:$X$31,0)+1,FALSE)</f>
        <v>1.5</v>
      </c>
      <c r="Q42" s="20">
        <f>VLOOKUP($B42,'Time-Distance-Raw'!$B$31:$X$42,MATCH(Q$31,'Time-Distance-Raw'!$B$31:$X$31,0)+1,FALSE)</f>
        <v>2.4</v>
      </c>
      <c r="R42" s="20">
        <f>VLOOKUP($B42,'Time-Distance-Raw'!$B$31:$X$42,MATCH(R$31,'Time-Distance-Raw'!$B$31:$X$31,0)+1,FALSE)</f>
        <v>1.4</v>
      </c>
      <c r="S42" s="20">
        <f>VLOOKUP($B42,'Time-Distance-Raw'!$B$31:$X$42,MATCH(S$31,'Time-Distance-Raw'!$B$31:$X$31,0)+1,FALSE)</f>
        <v>2.6</v>
      </c>
      <c r="T42" s="20">
        <f>VLOOKUP($B42,'Time-Distance-Raw'!$B$31:$X$42,MATCH(T$31,'Time-Distance-Raw'!$B$31:$X$31,0)+1,FALSE)</f>
        <v>2</v>
      </c>
      <c r="U42" s="20">
        <f>VLOOKUP($B42,'Time-Distance-Raw'!$B$31:$X$42,MATCH(U$31,'Time-Distance-Raw'!$B$31:$X$31,0)+1,FALSE)</f>
        <v>2.7</v>
      </c>
      <c r="V42" s="45">
        <f>VLOOKUP($B42,'Time-Distance-Raw'!$B$31:$X$42,MATCH(V$31,'Time-Distance-Raw'!$B$31:$X$31,0)+1,FALSE)</f>
        <v>0.8</v>
      </c>
      <c r="W42" s="45">
        <f>VLOOKUP($B42,'Time-Distance-Raw'!$B$31:$X$42,MATCH(W$31,'Time-Distance-Raw'!$B$31:$X$31,0)+1,FALSE)</f>
        <v>1</v>
      </c>
      <c r="X42" s="45">
        <f>VLOOKUP($B42,'Time-Distance-Raw'!$B$31:$X$42,MATCH(X$31,'Time-Distance-Raw'!$B$31:$X$31,0)+1,FALSE)</f>
        <v>2</v>
      </c>
      <c r="Y42" s="45">
        <f>VLOOKUP($B42,'Time-Distance-Raw'!$B$31:$X$42,MATCH(Y$31,'Time-Distance-Raw'!$B$31:$X$31,0)+1,FALSE)</f>
        <v>2.4</v>
      </c>
      <c r="Z42" s="45">
        <f>VLOOKUP($B42,'Time-Distance-Raw'!$B$31:$X$42,MATCH(Z$31,'Time-Distance-Raw'!$B$31:$X$31,0)+1,FALSE)</f>
        <v>0</v>
      </c>
      <c r="AB42" t="s">
        <v>62</v>
      </c>
      <c r="AC42" s="20">
        <f>P42*$C$58+$C$57+IF(Model!$AD$23=1,'Time-Distance'!$C$59,0)</f>
        <v>5.5</v>
      </c>
      <c r="AD42" s="20">
        <f>Q42*$C$58+$C$57+IF(Model!$AD$23=1,'Time-Distance'!$C$59,0)</f>
        <v>7.3</v>
      </c>
      <c r="AE42" s="20">
        <f>R42*$C$58+$C$57+IF(Model!$AD$23=1,'Time-Distance'!$C$59,0)</f>
        <v>5.3</v>
      </c>
      <c r="AF42" s="20">
        <f>S42*$C$58+$C$57+IF(Model!$AD$23=1,'Time-Distance'!$C$59,0)</f>
        <v>7.7</v>
      </c>
      <c r="AG42" s="20">
        <f>T42*$C$58+$C$57+IF(Model!$AD$23=1,'Time-Distance'!$C$59,0)</f>
        <v>6.5</v>
      </c>
      <c r="AH42" s="20">
        <f>U42*$C$58+$C$57+IF(Model!$AD$23=1,'Time-Distance'!$C$59,0)</f>
        <v>7.9</v>
      </c>
      <c r="AI42" s="45">
        <f>V42*$C$58+$C$57+IF(Model!$AD$23=1,'Time-Distance'!$C$59,0)</f>
        <v>4.0999999999999996</v>
      </c>
      <c r="AJ42" s="45">
        <f>W42*$C$58+$C$57+IF(Model!$AD$23=1,'Time-Distance'!$C$59,0)</f>
        <v>4.5</v>
      </c>
      <c r="AK42" s="45">
        <f>X42*$C$58+$C$57+IF(Model!$AD$23=1,'Time-Distance'!$C$59,0)</f>
        <v>6.5</v>
      </c>
      <c r="AL42" s="45">
        <f>Y42*$C$58+$C$57+IF(Model!$AD$23=1,'Time-Distance'!$C$59,0)</f>
        <v>7.3</v>
      </c>
      <c r="AM42" s="45">
        <f>Z42*$C$58+$C$57+IF(Model!$AD$23=1,'Time-Distance'!$C$59,0)</f>
        <v>2.5</v>
      </c>
    </row>
    <row r="43" spans="2:39">
      <c r="C43" s="41"/>
      <c r="D43" s="41"/>
      <c r="E43" s="41"/>
      <c r="F43" s="41"/>
      <c r="G43" s="41"/>
      <c r="H43" s="41"/>
    </row>
    <row r="44" spans="2:39">
      <c r="C44" s="41"/>
      <c r="D44" s="41"/>
      <c r="E44" s="41"/>
      <c r="F44" s="41"/>
      <c r="G44" s="41"/>
      <c r="H44" s="41"/>
    </row>
    <row r="46" spans="2:39">
      <c r="B46" s="16" t="s">
        <v>87</v>
      </c>
      <c r="C46" s="16"/>
      <c r="D46" s="16"/>
      <c r="E46" s="16"/>
      <c r="F46" s="16"/>
      <c r="G46" s="16"/>
      <c r="H46" s="16"/>
    </row>
    <row r="47" spans="2:39">
      <c r="B47" s="43"/>
      <c r="C47" s="41"/>
      <c r="D47" s="41"/>
      <c r="E47" s="41"/>
    </row>
    <row r="48" spans="2:39">
      <c r="B48" s="41" t="s">
        <v>88</v>
      </c>
      <c r="C48" s="41" t="s">
        <v>89</v>
      </c>
      <c r="D48" s="41"/>
      <c r="E48" s="44"/>
    </row>
    <row r="49" spans="2:11">
      <c r="B49" s="41" t="s">
        <v>90</v>
      </c>
      <c r="C49" s="41">
        <f>costs!C51</f>
        <v>2.7450000000000001</v>
      </c>
      <c r="D49" s="41"/>
      <c r="E49" s="44"/>
    </row>
    <row r="50" spans="2:11">
      <c r="B50" s="41" t="s">
        <v>91</v>
      </c>
      <c r="C50" s="41">
        <f>costs!C52</f>
        <v>4.13</v>
      </c>
      <c r="D50" s="41"/>
      <c r="E50" s="41"/>
    </row>
    <row r="51" spans="2:11">
      <c r="B51" s="41"/>
      <c r="C51" s="41"/>
      <c r="D51" s="41"/>
      <c r="E51" s="41"/>
    </row>
    <row r="52" spans="2:11">
      <c r="B52" s="41" t="s">
        <v>92</v>
      </c>
      <c r="C52" s="41" t="s">
        <v>89</v>
      </c>
      <c r="D52" s="41"/>
      <c r="E52" s="41"/>
    </row>
    <row r="53" spans="2:11">
      <c r="B53" s="41" t="s">
        <v>90</v>
      </c>
      <c r="C53" s="41">
        <f>costs!C55</f>
        <v>8</v>
      </c>
      <c r="D53" s="41"/>
      <c r="E53" s="41"/>
    </row>
    <row r="54" spans="2:11">
      <c r="B54" s="41" t="s">
        <v>91</v>
      </c>
      <c r="C54" s="41">
        <f>costs!C56</f>
        <v>2</v>
      </c>
      <c r="D54" s="41"/>
      <c r="E54" s="41"/>
    </row>
    <row r="55" spans="2:11">
      <c r="B55" s="41"/>
      <c r="C55" s="41"/>
      <c r="D55" s="41"/>
      <c r="E55" s="41"/>
    </row>
    <row r="56" spans="2:11">
      <c r="B56" s="41" t="s">
        <v>98</v>
      </c>
    </row>
    <row r="57" spans="2:11">
      <c r="B57" s="41" t="s">
        <v>97</v>
      </c>
      <c r="C57" s="41">
        <f>costs!C59</f>
        <v>2.5</v>
      </c>
      <c r="J57" t="s">
        <v>2</v>
      </c>
      <c r="K57" s="1" t="s">
        <v>1</v>
      </c>
    </row>
    <row r="58" spans="2:11">
      <c r="B58" s="41" t="s">
        <v>96</v>
      </c>
      <c r="C58" s="41">
        <f>costs!C60</f>
        <v>2</v>
      </c>
    </row>
    <row r="59" spans="2:11">
      <c r="B59" s="41" t="s">
        <v>90</v>
      </c>
      <c r="C59" s="41">
        <f>costs!C61</f>
        <v>1</v>
      </c>
    </row>
  </sheetData>
  <phoneticPr fontId="5" type="noConversion"/>
  <hyperlinks>
    <hyperlink ref="K57" r:id="rId1"/>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sheetPr codeName="Sheet7"/>
  <dimension ref="A1:X42"/>
  <sheetViews>
    <sheetView workbookViewId="0"/>
  </sheetViews>
  <sheetFormatPr defaultRowHeight="15"/>
  <cols>
    <col min="1" max="1" width="18.42578125" style="9" bestFit="1" customWidth="1"/>
    <col min="2" max="2" width="31.5703125" style="9" bestFit="1" customWidth="1"/>
    <col min="3" max="3" width="10.7109375" style="9" customWidth="1"/>
    <col min="4" max="4" width="4.7109375" style="9" customWidth="1"/>
    <col min="5" max="5" width="10.7109375" style="9" customWidth="1"/>
    <col min="6" max="6" width="4.7109375" style="9" customWidth="1"/>
    <col min="7" max="7" width="10.7109375" style="9" customWidth="1"/>
    <col min="8" max="8" width="4.7109375" style="9" customWidth="1"/>
    <col min="9" max="9" width="10.7109375" style="9" customWidth="1"/>
    <col min="10" max="10" width="4.7109375" style="9" customWidth="1"/>
    <col min="11" max="11" width="10.7109375" style="9" customWidth="1"/>
    <col min="12" max="12" width="4.7109375" style="9" customWidth="1"/>
    <col min="13" max="13" width="10.7109375" style="9" customWidth="1"/>
    <col min="14" max="14" width="4.7109375" style="9" customWidth="1"/>
    <col min="15" max="16384" width="9.140625" style="9"/>
  </cols>
  <sheetData>
    <row r="1" spans="1:24">
      <c r="A1" s="72" t="s">
        <v>131</v>
      </c>
      <c r="U1" s="22"/>
      <c r="V1" s="22"/>
      <c r="W1" s="22"/>
    </row>
    <row r="2" spans="1:24">
      <c r="A2" s="46" t="s">
        <v>23</v>
      </c>
      <c r="B2" s="46"/>
      <c r="C2" s="9" t="s">
        <v>16</v>
      </c>
      <c r="E2" s="9" t="s">
        <v>11</v>
      </c>
      <c r="G2" s="9" t="s">
        <v>9</v>
      </c>
      <c r="I2" s="9" t="s">
        <v>10</v>
      </c>
      <c r="K2" s="9" t="s">
        <v>20</v>
      </c>
      <c r="M2" s="9" t="s">
        <v>28</v>
      </c>
      <c r="O2" s="9" t="s">
        <v>17</v>
      </c>
      <c r="Q2" s="9" t="s">
        <v>18</v>
      </c>
      <c r="S2" s="9" t="s">
        <v>75</v>
      </c>
      <c r="U2" s="22" t="s">
        <v>76</v>
      </c>
      <c r="V2" s="22"/>
      <c r="W2" s="22" t="s">
        <v>74</v>
      </c>
    </row>
    <row r="3" spans="1:24">
      <c r="A3" s="46"/>
      <c r="B3" s="46"/>
      <c r="C3" s="9" t="str">
        <f>VLOOKUP(C2,$A$4:$B$14,2,FALSE)</f>
        <v xml:space="preserve">Five Napkin Burger </v>
      </c>
      <c r="E3" s="9" t="str">
        <f>VLOOKUP(E2,$A$4:$B$14,2,FALSE)</f>
        <v xml:space="preserve">J.G. Melon </v>
      </c>
      <c r="G3" s="9" t="str">
        <f>VLOOKUP(G2,$A$4:$B$14,2,FALSE)</f>
        <v xml:space="preserve">Shake Shack </v>
      </c>
      <c r="I3" s="9" t="str">
        <f>VLOOKUP(I2,$A$4:$B$14,2,FALSE)</f>
        <v>Burger Joint at Le Parker Meridien</v>
      </c>
      <c r="K3" s="9" t="str">
        <f>VLOOKUP(K2,$A$4:$B$14,2,FALSE)</f>
        <v>Corner Bistro</v>
      </c>
      <c r="M3" s="9" t="str">
        <f>VLOOKUP(M2,$A$4:$B$14,2,FALSE)</f>
        <v>Rare Bar &amp; Grill</v>
      </c>
      <c r="O3" s="9" t="str">
        <f>VLOOKUP(O2,$A$4:$B$14,2,FALSE)</f>
        <v>Minetta Tavern</v>
      </c>
      <c r="Q3" s="9" t="str">
        <f>VLOOKUP(Q2,$A$4:$B$14,2,FALSE)</f>
        <v>West 3rd Common</v>
      </c>
      <c r="S3" s="9" t="str">
        <f>VLOOKUP(S2,$A$4:$B$14,2,FALSE)</f>
        <v>Blt Burger</v>
      </c>
      <c r="U3" s="9" t="str">
        <f>VLOOKUP(U2,$A$4:$B$14,2,FALSE)</f>
        <v>DB Bistro Moderne</v>
      </c>
      <c r="V3" s="22"/>
      <c r="W3" s="9" t="str">
        <f>VLOOKUP(W2,$A$4:$B$14,2,FALSE)</f>
        <v>Paul's "Da Burger Joint"</v>
      </c>
    </row>
    <row r="4" spans="1:24">
      <c r="A4" s="9" t="s">
        <v>16</v>
      </c>
      <c r="B4" s="9" t="str">
        <f>VLOOKUP(A4,Restaurants!$C$5:$D$15,2,FALSE)</f>
        <v xml:space="preserve">Five Napkin Burger </v>
      </c>
      <c r="C4" s="21">
        <v>0</v>
      </c>
      <c r="D4" s="21"/>
      <c r="E4" s="9">
        <v>49</v>
      </c>
      <c r="G4" s="9">
        <v>31</v>
      </c>
      <c r="I4" s="9">
        <v>21</v>
      </c>
      <c r="K4" s="9">
        <v>35</v>
      </c>
      <c r="M4" s="9">
        <v>27</v>
      </c>
      <c r="O4" s="9">
        <v>48</v>
      </c>
      <c r="Q4" s="9">
        <v>51</v>
      </c>
      <c r="S4" s="9">
        <v>41</v>
      </c>
      <c r="U4" s="9">
        <v>12</v>
      </c>
      <c r="W4" s="9">
        <v>52</v>
      </c>
    </row>
    <row r="5" spans="1:24">
      <c r="A5" s="9" t="s">
        <v>11</v>
      </c>
      <c r="B5" s="9" t="str">
        <f>VLOOKUP(A5,Restaurants!$C$5:$D$15,2,FALSE)</f>
        <v xml:space="preserve">J.G. Melon </v>
      </c>
      <c r="C5" s="21">
        <f>E4</f>
        <v>49</v>
      </c>
      <c r="D5" s="21"/>
      <c r="E5" s="21">
        <v>0</v>
      </c>
      <c r="F5" s="21"/>
      <c r="G5" s="9">
        <v>55</v>
      </c>
      <c r="I5" s="9">
        <v>31</v>
      </c>
      <c r="K5" s="9">
        <v>78</v>
      </c>
      <c r="M5" s="9">
        <v>39</v>
      </c>
      <c r="O5" s="9">
        <v>114</v>
      </c>
      <c r="Q5" s="9">
        <v>73</v>
      </c>
      <c r="S5" s="9">
        <v>73</v>
      </c>
      <c r="U5" s="9">
        <v>40</v>
      </c>
      <c r="W5" s="9">
        <v>68</v>
      </c>
    </row>
    <row r="6" spans="1:24">
      <c r="A6" s="9" t="s">
        <v>9</v>
      </c>
      <c r="B6" s="9" t="str">
        <f>VLOOKUP(A6,Restaurants!$C$5:$D$15,2,FALSE)</f>
        <v xml:space="preserve">Shake Shack </v>
      </c>
      <c r="C6" s="21">
        <f>G4</f>
        <v>31</v>
      </c>
      <c r="D6" s="21"/>
      <c r="E6" s="21">
        <f>G5</f>
        <v>55</v>
      </c>
      <c r="F6" s="21"/>
      <c r="G6" s="21">
        <v>0</v>
      </c>
      <c r="H6" s="21"/>
      <c r="I6" s="9">
        <v>35</v>
      </c>
      <c r="K6" s="9">
        <v>25</v>
      </c>
      <c r="M6" s="9">
        <v>17</v>
      </c>
      <c r="O6" s="9">
        <v>24</v>
      </c>
      <c r="Q6" s="9">
        <v>22</v>
      </c>
      <c r="S6" s="9">
        <v>18</v>
      </c>
      <c r="U6" s="9">
        <v>23</v>
      </c>
      <c r="W6" s="9">
        <v>23</v>
      </c>
    </row>
    <row r="7" spans="1:24">
      <c r="A7" s="9" t="s">
        <v>10</v>
      </c>
      <c r="B7" s="9" t="str">
        <f>VLOOKUP(A7,Restaurants!$C$5:$D$15,2,FALSE)</f>
        <v>Burger Joint at Le Parker Meridien</v>
      </c>
      <c r="C7" s="21">
        <f>I4</f>
        <v>21</v>
      </c>
      <c r="D7" s="21"/>
      <c r="E7" s="21">
        <f>I5</f>
        <v>31</v>
      </c>
      <c r="F7" s="21"/>
      <c r="G7" s="21">
        <f>I6</f>
        <v>35</v>
      </c>
      <c r="H7" s="21"/>
      <c r="I7" s="21">
        <v>0</v>
      </c>
      <c r="J7" s="21"/>
      <c r="K7" s="9">
        <v>49</v>
      </c>
      <c r="M7" s="9">
        <v>29</v>
      </c>
      <c r="O7" s="9">
        <v>54</v>
      </c>
      <c r="Q7" s="9">
        <v>56</v>
      </c>
      <c r="S7" s="9">
        <v>45</v>
      </c>
      <c r="U7" s="9">
        <v>13</v>
      </c>
      <c r="W7" s="9">
        <v>56</v>
      </c>
    </row>
    <row r="8" spans="1:24">
      <c r="A8" s="9" t="s">
        <v>20</v>
      </c>
      <c r="B8" s="9" t="str">
        <f>VLOOKUP(A8,Restaurants!$C$5:$D$15,2,FALSE)</f>
        <v>Corner Bistro</v>
      </c>
      <c r="C8" s="21">
        <f>K4</f>
        <v>35</v>
      </c>
      <c r="D8" s="21"/>
      <c r="E8" s="21">
        <f>K5</f>
        <v>78</v>
      </c>
      <c r="F8" s="21"/>
      <c r="G8" s="21">
        <f>K6</f>
        <v>25</v>
      </c>
      <c r="H8" s="21"/>
      <c r="I8" s="21">
        <f>K7</f>
        <v>49</v>
      </c>
      <c r="J8" s="21"/>
      <c r="K8" s="21">
        <v>0</v>
      </c>
      <c r="L8" s="21"/>
      <c r="M8" s="9">
        <v>43</v>
      </c>
      <c r="O8" s="9">
        <v>13</v>
      </c>
      <c r="Q8" s="9">
        <v>18</v>
      </c>
      <c r="S8" s="9">
        <v>8</v>
      </c>
      <c r="U8" s="9">
        <v>40</v>
      </c>
      <c r="W8" s="9">
        <v>23</v>
      </c>
    </row>
    <row r="9" spans="1:24">
      <c r="A9" s="9" t="s">
        <v>28</v>
      </c>
      <c r="B9" s="9" t="str">
        <f>VLOOKUP(A9,Restaurants!$C$5:$D$15,2,FALSE)</f>
        <v>Rare Bar &amp; Grill</v>
      </c>
      <c r="C9" s="21">
        <f>M4</f>
        <v>27</v>
      </c>
      <c r="D9" s="21"/>
      <c r="E9" s="21">
        <f>M5</f>
        <v>39</v>
      </c>
      <c r="F9" s="21"/>
      <c r="G9" s="21">
        <f>M6</f>
        <v>17</v>
      </c>
      <c r="H9" s="21"/>
      <c r="I9" s="21">
        <f>M7</f>
        <v>29</v>
      </c>
      <c r="J9" s="21"/>
      <c r="K9" s="21">
        <f>M8</f>
        <v>43</v>
      </c>
      <c r="L9" s="21"/>
      <c r="M9" s="21">
        <v>0</v>
      </c>
      <c r="N9" s="21"/>
      <c r="O9" s="9">
        <v>41</v>
      </c>
      <c r="Q9" s="9">
        <v>36</v>
      </c>
      <c r="S9" s="9">
        <v>36</v>
      </c>
      <c r="U9" s="9">
        <v>16</v>
      </c>
      <c r="W9" s="9">
        <v>34</v>
      </c>
    </row>
    <row r="10" spans="1:24">
      <c r="A10" s="9" t="s">
        <v>17</v>
      </c>
      <c r="B10" s="9" t="str">
        <f>VLOOKUP(A10,Restaurants!$C$5:$D$15,2,FALSE)</f>
        <v>Minetta Tavern</v>
      </c>
      <c r="C10" s="21">
        <f>O4</f>
        <v>48</v>
      </c>
      <c r="D10" s="21"/>
      <c r="E10" s="21">
        <f>O5</f>
        <v>114</v>
      </c>
      <c r="F10" s="21"/>
      <c r="G10" s="21">
        <f>O6</f>
        <v>24</v>
      </c>
      <c r="H10" s="21"/>
      <c r="I10" s="21">
        <f>O7</f>
        <v>54</v>
      </c>
      <c r="J10" s="21"/>
      <c r="K10" s="21">
        <f>O8</f>
        <v>13</v>
      </c>
      <c r="L10" s="21"/>
      <c r="M10" s="21">
        <f>O9</f>
        <v>41</v>
      </c>
      <c r="N10" s="21"/>
      <c r="O10" s="21">
        <v>0</v>
      </c>
      <c r="P10" s="47"/>
      <c r="Q10" s="9">
        <v>2</v>
      </c>
      <c r="S10" s="9">
        <v>9</v>
      </c>
      <c r="U10" s="9">
        <v>42</v>
      </c>
      <c r="W10" s="9">
        <v>17</v>
      </c>
    </row>
    <row r="11" spans="1:24">
      <c r="A11" s="9" t="s">
        <v>18</v>
      </c>
      <c r="B11" s="9" t="str">
        <f>VLOOKUP(A11,Restaurants!$C$5:$D$15,2,FALSE)</f>
        <v>West 3rd Common</v>
      </c>
      <c r="C11" s="21">
        <f>Q4</f>
        <v>51</v>
      </c>
      <c r="D11" s="21"/>
      <c r="E11" s="21">
        <f>Q5</f>
        <v>73</v>
      </c>
      <c r="F11" s="21"/>
      <c r="G11" s="21">
        <f>Q6</f>
        <v>22</v>
      </c>
      <c r="H11" s="21"/>
      <c r="I11" s="21">
        <f>Q7</f>
        <v>56</v>
      </c>
      <c r="J11" s="21"/>
      <c r="K11" s="21">
        <f>Q8</f>
        <v>18</v>
      </c>
      <c r="L11" s="21"/>
      <c r="M11" s="21">
        <f>Q9</f>
        <v>36</v>
      </c>
      <c r="N11" s="21"/>
      <c r="O11" s="21">
        <f>Q10</f>
        <v>2</v>
      </c>
      <c r="P11" s="47"/>
      <c r="Q11" s="21">
        <v>0</v>
      </c>
      <c r="R11" s="47"/>
      <c r="S11" s="9">
        <v>15</v>
      </c>
      <c r="U11" s="22">
        <v>44</v>
      </c>
      <c r="V11" s="22"/>
      <c r="W11" s="9">
        <v>11</v>
      </c>
    </row>
    <row r="12" spans="1:24">
      <c r="A12" s="9" t="s">
        <v>75</v>
      </c>
      <c r="B12" s="9" t="str">
        <f>VLOOKUP(A12,Restaurants!$C$5:$D$15,2,FALSE)</f>
        <v>Blt Burger</v>
      </c>
      <c r="C12" s="21">
        <f>S4</f>
        <v>41</v>
      </c>
      <c r="D12" s="21"/>
      <c r="E12" s="21">
        <f>S5</f>
        <v>73</v>
      </c>
      <c r="F12" s="21"/>
      <c r="G12" s="21">
        <f>S6</f>
        <v>18</v>
      </c>
      <c r="H12" s="21"/>
      <c r="I12" s="21">
        <f>S7</f>
        <v>45</v>
      </c>
      <c r="J12" s="21"/>
      <c r="K12" s="21">
        <f>S8</f>
        <v>8</v>
      </c>
      <c r="L12" s="21"/>
      <c r="M12" s="21">
        <f>S9</f>
        <v>36</v>
      </c>
      <c r="N12" s="21"/>
      <c r="O12" s="21">
        <f>S10</f>
        <v>9</v>
      </c>
      <c r="P12" s="47"/>
      <c r="Q12" s="21">
        <f>S11</f>
        <v>15</v>
      </c>
      <c r="R12" s="47"/>
      <c r="S12" s="21">
        <v>0</v>
      </c>
      <c r="T12" s="47"/>
      <c r="U12" s="22">
        <v>33</v>
      </c>
      <c r="V12" s="22"/>
      <c r="W12" s="9">
        <v>18</v>
      </c>
    </row>
    <row r="13" spans="1:24">
      <c r="A13" s="9" t="s">
        <v>76</v>
      </c>
      <c r="B13" s="9" t="str">
        <f>VLOOKUP(A13,Restaurants!$C$5:$D$15,2,FALSE)</f>
        <v>DB Bistro Moderne</v>
      </c>
      <c r="C13" s="21">
        <f>U4</f>
        <v>12</v>
      </c>
      <c r="D13" s="21"/>
      <c r="E13" s="21">
        <f>U5</f>
        <v>40</v>
      </c>
      <c r="F13" s="21"/>
      <c r="G13" s="21">
        <f>U6</f>
        <v>23</v>
      </c>
      <c r="H13" s="21"/>
      <c r="I13" s="21">
        <f>U7</f>
        <v>13</v>
      </c>
      <c r="J13" s="21"/>
      <c r="K13" s="21">
        <f>U8</f>
        <v>40</v>
      </c>
      <c r="L13" s="21"/>
      <c r="M13" s="21">
        <f>U9</f>
        <v>16</v>
      </c>
      <c r="N13" s="21"/>
      <c r="O13" s="21">
        <f>U10</f>
        <v>42</v>
      </c>
      <c r="P13" s="47"/>
      <c r="Q13" s="21">
        <f>U11</f>
        <v>44</v>
      </c>
      <c r="R13" s="47"/>
      <c r="S13" s="21">
        <f>U12</f>
        <v>33</v>
      </c>
      <c r="T13" s="47"/>
      <c r="U13" s="21">
        <v>0</v>
      </c>
      <c r="V13" s="47"/>
      <c r="W13" s="9">
        <v>45</v>
      </c>
    </row>
    <row r="14" spans="1:24">
      <c r="A14" s="22" t="s">
        <v>74</v>
      </c>
      <c r="B14" s="9" t="str">
        <f>VLOOKUP(A14,Restaurants!$C$5:$D$15,2,FALSE)</f>
        <v>Paul's "Da Burger Joint"</v>
      </c>
      <c r="C14" s="21">
        <f>W4</f>
        <v>52</v>
      </c>
      <c r="D14" s="21"/>
      <c r="E14" s="21">
        <f>W5</f>
        <v>68</v>
      </c>
      <c r="F14" s="21"/>
      <c r="G14" s="21">
        <f>W6</f>
        <v>23</v>
      </c>
      <c r="H14" s="21"/>
      <c r="I14" s="21">
        <f>W7</f>
        <v>56</v>
      </c>
      <c r="J14" s="21"/>
      <c r="K14" s="21">
        <f>W8</f>
        <v>23</v>
      </c>
      <c r="L14" s="21"/>
      <c r="M14" s="21">
        <f>W9</f>
        <v>34</v>
      </c>
      <c r="N14" s="21"/>
      <c r="O14" s="47">
        <f>W10</f>
        <v>17</v>
      </c>
      <c r="P14" s="47"/>
      <c r="Q14" s="21">
        <f>W11</f>
        <v>11</v>
      </c>
      <c r="R14" s="47"/>
      <c r="S14" s="21">
        <f>W12</f>
        <v>18</v>
      </c>
      <c r="T14" s="47"/>
      <c r="U14" s="21">
        <f>W13</f>
        <v>45</v>
      </c>
      <c r="V14" s="47"/>
      <c r="W14" s="21">
        <v>0</v>
      </c>
      <c r="X14" s="47"/>
    </row>
    <row r="16" spans="1:24">
      <c r="A16" s="46" t="s">
        <v>27</v>
      </c>
      <c r="B16" s="46"/>
      <c r="C16" s="9" t="s">
        <v>16</v>
      </c>
      <c r="D16" s="9" t="s">
        <v>30</v>
      </c>
      <c r="E16" s="9" t="s">
        <v>11</v>
      </c>
      <c r="F16" s="9" t="s">
        <v>30</v>
      </c>
      <c r="G16" s="9" t="s">
        <v>9</v>
      </c>
      <c r="H16" s="9" t="s">
        <v>30</v>
      </c>
      <c r="I16" s="9" t="s">
        <v>10</v>
      </c>
      <c r="J16" s="9" t="s">
        <v>30</v>
      </c>
      <c r="K16" s="9" t="s">
        <v>20</v>
      </c>
      <c r="L16" s="9" t="s">
        <v>30</v>
      </c>
      <c r="M16" s="9" t="s">
        <v>28</v>
      </c>
      <c r="N16" s="9" t="s">
        <v>30</v>
      </c>
      <c r="O16" s="9" t="s">
        <v>17</v>
      </c>
      <c r="Q16" s="9" t="s">
        <v>18</v>
      </c>
      <c r="S16" s="9" t="s">
        <v>75</v>
      </c>
      <c r="U16" s="22" t="s">
        <v>76</v>
      </c>
      <c r="V16" s="22"/>
      <c r="W16" s="22" t="s">
        <v>74</v>
      </c>
    </row>
    <row r="17" spans="1:24">
      <c r="A17" s="46"/>
      <c r="B17" s="46"/>
      <c r="C17" s="9" t="str">
        <f>VLOOKUP(C16,$A$4:$B$14,2,FALSE)</f>
        <v xml:space="preserve">Five Napkin Burger </v>
      </c>
      <c r="E17" s="9" t="str">
        <f>VLOOKUP(E16,$A$4:$B$14,2,FALSE)</f>
        <v xml:space="preserve">J.G. Melon </v>
      </c>
      <c r="G17" s="9" t="str">
        <f>VLOOKUP(G16,$A$4:$B$14,2,FALSE)</f>
        <v xml:space="preserve">Shake Shack </v>
      </c>
      <c r="I17" s="9" t="str">
        <f>VLOOKUP(I16,$A$4:$B$14,2,FALSE)</f>
        <v>Burger Joint at Le Parker Meridien</v>
      </c>
      <c r="K17" s="9" t="str">
        <f>VLOOKUP(K16,$A$4:$B$14,2,FALSE)</f>
        <v>Corner Bistro</v>
      </c>
      <c r="M17" s="9" t="str">
        <f>VLOOKUP(M16,$A$4:$B$14,2,FALSE)</f>
        <v>Rare Bar &amp; Grill</v>
      </c>
      <c r="O17" s="9" t="str">
        <f>VLOOKUP(O16,$A$4:$B$14,2,FALSE)</f>
        <v>Minetta Tavern</v>
      </c>
      <c r="Q17" s="9" t="str">
        <f>VLOOKUP(Q16,$A$4:$B$14,2,FALSE)</f>
        <v>West 3rd Common</v>
      </c>
      <c r="S17" s="9" t="str">
        <f>VLOOKUP(S16,$A$4:$B$14,2,FALSE)</f>
        <v>Blt Burger</v>
      </c>
      <c r="U17" s="9" t="str">
        <f>VLOOKUP(U16,$A$4:$B$14,2,FALSE)</f>
        <v>DB Bistro Moderne</v>
      </c>
      <c r="V17" s="22"/>
      <c r="W17" s="9" t="str">
        <f>VLOOKUP(W16,$A$4:$B$14,2,FALSE)</f>
        <v>Paul's "Da Burger Joint"</v>
      </c>
    </row>
    <row r="18" spans="1:24">
      <c r="A18" s="9" t="s">
        <v>16</v>
      </c>
      <c r="B18" s="9" t="str">
        <f>VLOOKUP(A18,Restaurants!$C$5:$D$15,2,FALSE)</f>
        <v xml:space="preserve">Five Napkin Burger </v>
      </c>
      <c r="C18" s="21">
        <v>0</v>
      </c>
      <c r="D18" s="21">
        <v>0</v>
      </c>
      <c r="E18" s="9">
        <v>24</v>
      </c>
      <c r="F18" s="9">
        <v>2</v>
      </c>
      <c r="G18" s="9">
        <v>18</v>
      </c>
      <c r="H18" s="9">
        <v>1</v>
      </c>
      <c r="I18" s="22">
        <v>14</v>
      </c>
      <c r="J18" s="22">
        <v>1</v>
      </c>
      <c r="K18" s="9">
        <v>14</v>
      </c>
      <c r="L18" s="9">
        <v>1</v>
      </c>
      <c r="M18" s="22">
        <v>18</v>
      </c>
      <c r="N18" s="22">
        <v>1</v>
      </c>
      <c r="O18" s="22">
        <v>16</v>
      </c>
      <c r="P18" s="22">
        <v>1</v>
      </c>
      <c r="Q18" s="22">
        <v>21</v>
      </c>
      <c r="R18" s="22">
        <v>1</v>
      </c>
      <c r="S18" s="22">
        <v>17</v>
      </c>
      <c r="T18" s="22">
        <v>1</v>
      </c>
      <c r="U18" s="22">
        <v>13</v>
      </c>
      <c r="V18" s="22">
        <v>1</v>
      </c>
      <c r="W18" s="9">
        <v>26</v>
      </c>
      <c r="X18" s="22">
        <v>2</v>
      </c>
    </row>
    <row r="19" spans="1:24">
      <c r="A19" s="9" t="s">
        <v>11</v>
      </c>
      <c r="B19" s="9" t="str">
        <f>VLOOKUP(A19,Restaurants!$C$5:$D$15,2,FALSE)</f>
        <v xml:space="preserve">J.G. Melon </v>
      </c>
      <c r="C19" s="21">
        <f>E18</f>
        <v>24</v>
      </c>
      <c r="D19" s="21">
        <f>F18</f>
        <v>2</v>
      </c>
      <c r="E19" s="21">
        <v>0</v>
      </c>
      <c r="F19" s="21">
        <v>0</v>
      </c>
      <c r="G19" s="9">
        <v>18</v>
      </c>
      <c r="H19" s="9">
        <v>1</v>
      </c>
      <c r="I19" s="9">
        <v>16</v>
      </c>
      <c r="J19" s="9">
        <v>1</v>
      </c>
      <c r="K19" s="9">
        <v>27</v>
      </c>
      <c r="L19" s="9">
        <v>2</v>
      </c>
      <c r="M19" s="22">
        <v>17</v>
      </c>
      <c r="N19" s="22">
        <v>1</v>
      </c>
      <c r="O19" s="22">
        <v>29</v>
      </c>
      <c r="P19" s="22">
        <v>2</v>
      </c>
      <c r="Q19" s="22">
        <v>23</v>
      </c>
      <c r="R19" s="22">
        <v>1</v>
      </c>
      <c r="S19" s="22">
        <v>23</v>
      </c>
      <c r="T19" s="22">
        <v>3</v>
      </c>
      <c r="U19" s="22">
        <v>20</v>
      </c>
      <c r="V19" s="22">
        <v>1</v>
      </c>
      <c r="W19" s="9">
        <v>22</v>
      </c>
      <c r="X19" s="22">
        <v>1</v>
      </c>
    </row>
    <row r="20" spans="1:24">
      <c r="A20" s="9" t="s">
        <v>9</v>
      </c>
      <c r="B20" s="9" t="str">
        <f>VLOOKUP(A20,Restaurants!$C$5:$D$15,2,FALSE)</f>
        <v xml:space="preserve">Shake Shack </v>
      </c>
      <c r="C20" s="21">
        <f>G18</f>
        <v>18</v>
      </c>
      <c r="D20" s="21">
        <f>H18</f>
        <v>1</v>
      </c>
      <c r="E20" s="21">
        <f>G19</f>
        <v>18</v>
      </c>
      <c r="F20" s="21">
        <f>H19</f>
        <v>1</v>
      </c>
      <c r="G20" s="21">
        <v>0</v>
      </c>
      <c r="H20" s="21">
        <v>0</v>
      </c>
      <c r="I20" s="9">
        <v>12</v>
      </c>
      <c r="J20" s="9">
        <v>1</v>
      </c>
      <c r="K20" s="9">
        <v>19</v>
      </c>
      <c r="L20" s="9">
        <v>2</v>
      </c>
      <c r="M20" s="22">
        <v>13</v>
      </c>
      <c r="N20" s="22">
        <v>1</v>
      </c>
      <c r="O20" s="22">
        <v>13</v>
      </c>
      <c r="P20" s="22">
        <v>1</v>
      </c>
      <c r="Q20" s="22">
        <v>10</v>
      </c>
      <c r="R20" s="22">
        <v>1</v>
      </c>
      <c r="S20" s="22">
        <v>8</v>
      </c>
      <c r="T20" s="22">
        <v>1</v>
      </c>
      <c r="U20" s="22">
        <v>13</v>
      </c>
      <c r="V20" s="22">
        <v>1</v>
      </c>
      <c r="W20" s="9">
        <v>11</v>
      </c>
      <c r="X20" s="22">
        <v>1</v>
      </c>
    </row>
    <row r="21" spans="1:24">
      <c r="A21" s="9" t="s">
        <v>10</v>
      </c>
      <c r="B21" s="9" t="str">
        <f>VLOOKUP(A21,Restaurants!$C$5:$D$15,2,FALSE)</f>
        <v>Burger Joint at Le Parker Meridien</v>
      </c>
      <c r="C21" s="21">
        <f>I18</f>
        <v>14</v>
      </c>
      <c r="D21" s="21">
        <f>J18</f>
        <v>1</v>
      </c>
      <c r="E21" s="21">
        <f>I19</f>
        <v>16</v>
      </c>
      <c r="F21" s="21">
        <f>J19</f>
        <v>1</v>
      </c>
      <c r="G21" s="21">
        <f>I20</f>
        <v>12</v>
      </c>
      <c r="H21" s="21">
        <f>J20</f>
        <v>1</v>
      </c>
      <c r="I21" s="21">
        <v>0</v>
      </c>
      <c r="J21" s="21">
        <v>0</v>
      </c>
      <c r="K21" s="9">
        <v>17</v>
      </c>
      <c r="L21" s="9">
        <v>1</v>
      </c>
      <c r="M21" s="22">
        <v>18</v>
      </c>
      <c r="N21" s="22">
        <v>2</v>
      </c>
      <c r="O21" s="22">
        <v>14</v>
      </c>
      <c r="P21" s="22">
        <v>1</v>
      </c>
      <c r="Q21" s="22">
        <v>17</v>
      </c>
      <c r="R21" s="22">
        <v>1</v>
      </c>
      <c r="S21" s="22">
        <v>13</v>
      </c>
      <c r="T21" s="22">
        <v>1</v>
      </c>
      <c r="U21" s="22">
        <v>7</v>
      </c>
      <c r="V21" s="22">
        <v>1</v>
      </c>
      <c r="W21" s="9">
        <v>22</v>
      </c>
      <c r="X21" s="22">
        <v>2</v>
      </c>
    </row>
    <row r="22" spans="1:24">
      <c r="A22" s="9" t="s">
        <v>20</v>
      </c>
      <c r="B22" s="9" t="str">
        <f>VLOOKUP(A22,Restaurants!$C$5:$D$15,2,FALSE)</f>
        <v>Corner Bistro</v>
      </c>
      <c r="C22" s="21">
        <f>K18</f>
        <v>14</v>
      </c>
      <c r="D22" s="21">
        <f>L18</f>
        <v>1</v>
      </c>
      <c r="E22" s="21">
        <f>K19</f>
        <v>27</v>
      </c>
      <c r="F22" s="21">
        <f>L19</f>
        <v>2</v>
      </c>
      <c r="G22" s="21">
        <f>K20</f>
        <v>19</v>
      </c>
      <c r="H22" s="21">
        <f>L20</f>
        <v>2</v>
      </c>
      <c r="I22" s="21">
        <f>K21</f>
        <v>17</v>
      </c>
      <c r="J22" s="21">
        <f>L21</f>
        <v>1</v>
      </c>
      <c r="K22" s="21">
        <v>0</v>
      </c>
      <c r="L22" s="21">
        <v>0</v>
      </c>
      <c r="M22" s="22">
        <v>20</v>
      </c>
      <c r="N22" s="22">
        <v>2</v>
      </c>
      <c r="O22" s="9">
        <v>10</v>
      </c>
      <c r="P22" s="22">
        <v>1</v>
      </c>
      <c r="Q22" s="9">
        <v>16</v>
      </c>
      <c r="R22" s="22">
        <v>2</v>
      </c>
      <c r="S22" s="9">
        <v>7</v>
      </c>
      <c r="T22" s="22">
        <v>1</v>
      </c>
      <c r="U22" s="22">
        <v>16</v>
      </c>
      <c r="V22" s="22">
        <v>2</v>
      </c>
      <c r="W22" s="9">
        <v>18</v>
      </c>
      <c r="X22" s="22">
        <v>1</v>
      </c>
    </row>
    <row r="23" spans="1:24">
      <c r="A23" s="9" t="s">
        <v>28</v>
      </c>
      <c r="B23" s="9" t="str">
        <f>VLOOKUP(A23,Restaurants!$C$5:$D$15,2,FALSE)</f>
        <v>Rare Bar &amp; Grill</v>
      </c>
      <c r="C23" s="21">
        <f>M18</f>
        <v>18</v>
      </c>
      <c r="D23" s="21">
        <f>N18</f>
        <v>1</v>
      </c>
      <c r="E23" s="21">
        <f>M19</f>
        <v>17</v>
      </c>
      <c r="F23" s="21">
        <f>N19</f>
        <v>1</v>
      </c>
      <c r="G23" s="21">
        <f>M20</f>
        <v>13</v>
      </c>
      <c r="H23" s="21">
        <f>N20</f>
        <v>1</v>
      </c>
      <c r="I23" s="21">
        <f>M21</f>
        <v>18</v>
      </c>
      <c r="J23" s="21">
        <f>N21</f>
        <v>2</v>
      </c>
      <c r="K23" s="21">
        <f>M22</f>
        <v>20</v>
      </c>
      <c r="L23" s="21">
        <f>N22</f>
        <v>2</v>
      </c>
      <c r="M23" s="21">
        <v>0</v>
      </c>
      <c r="N23" s="21">
        <v>0</v>
      </c>
      <c r="O23" s="9">
        <v>21</v>
      </c>
      <c r="P23" s="9">
        <v>2</v>
      </c>
      <c r="Q23" s="9">
        <v>18</v>
      </c>
      <c r="R23" s="9">
        <v>1</v>
      </c>
      <c r="S23" s="9">
        <v>17</v>
      </c>
      <c r="T23" s="9">
        <v>2</v>
      </c>
      <c r="U23" s="22">
        <v>12</v>
      </c>
      <c r="V23" s="22">
        <v>1</v>
      </c>
      <c r="W23" s="9">
        <v>22</v>
      </c>
      <c r="X23" s="22">
        <v>1</v>
      </c>
    </row>
    <row r="24" spans="1:24">
      <c r="A24" s="9" t="s">
        <v>17</v>
      </c>
      <c r="B24" s="9" t="str">
        <f>VLOOKUP(A24,Restaurants!$C$5:$D$15,2,FALSE)</f>
        <v>Minetta Tavern</v>
      </c>
      <c r="C24" s="21">
        <f>O18</f>
        <v>16</v>
      </c>
      <c r="D24" s="21">
        <f>P18</f>
        <v>1</v>
      </c>
      <c r="E24" s="21">
        <f>O19</f>
        <v>29</v>
      </c>
      <c r="F24" s="21">
        <f>P19</f>
        <v>2</v>
      </c>
      <c r="G24" s="21">
        <f>O20</f>
        <v>13</v>
      </c>
      <c r="H24" s="21">
        <f>P20</f>
        <v>1</v>
      </c>
      <c r="I24" s="21">
        <f>O21</f>
        <v>14</v>
      </c>
      <c r="J24" s="21">
        <f>P21</f>
        <v>1</v>
      </c>
      <c r="K24" s="21">
        <f>O22</f>
        <v>10</v>
      </c>
      <c r="L24" s="21">
        <f>P22</f>
        <v>1</v>
      </c>
      <c r="M24" s="21">
        <f>O23</f>
        <v>21</v>
      </c>
      <c r="N24" s="21">
        <f>P23</f>
        <v>2</v>
      </c>
      <c r="O24" s="21">
        <v>0</v>
      </c>
      <c r="P24" s="21">
        <v>0</v>
      </c>
      <c r="Q24" s="48">
        <v>1000</v>
      </c>
      <c r="R24" s="9">
        <v>1</v>
      </c>
      <c r="S24" s="48">
        <v>1000</v>
      </c>
      <c r="T24" s="9">
        <v>1</v>
      </c>
      <c r="U24" s="9">
        <v>13</v>
      </c>
      <c r="V24" s="22">
        <v>1</v>
      </c>
      <c r="W24" s="9">
        <v>16</v>
      </c>
      <c r="X24" s="22">
        <v>1</v>
      </c>
    </row>
    <row r="25" spans="1:24">
      <c r="A25" s="9" t="s">
        <v>18</v>
      </c>
      <c r="B25" s="9" t="str">
        <f>VLOOKUP(A25,Restaurants!$C$5:$D$15,2,FALSE)</f>
        <v>West 3rd Common</v>
      </c>
      <c r="C25" s="21">
        <f>Q18</f>
        <v>21</v>
      </c>
      <c r="D25" s="21">
        <f>R18</f>
        <v>1</v>
      </c>
      <c r="E25" s="21">
        <f>Q19</f>
        <v>23</v>
      </c>
      <c r="F25" s="21">
        <f>R19</f>
        <v>1</v>
      </c>
      <c r="G25" s="21">
        <f>Q20</f>
        <v>10</v>
      </c>
      <c r="H25" s="21">
        <f>R20</f>
        <v>1</v>
      </c>
      <c r="I25" s="21">
        <f>Q21</f>
        <v>17</v>
      </c>
      <c r="J25" s="21">
        <f>R21</f>
        <v>1</v>
      </c>
      <c r="K25" s="21">
        <f>Q22</f>
        <v>16</v>
      </c>
      <c r="L25" s="21">
        <f>R22</f>
        <v>2</v>
      </c>
      <c r="M25" s="21">
        <f>Q23</f>
        <v>18</v>
      </c>
      <c r="N25" s="21">
        <f>R23</f>
        <v>1</v>
      </c>
      <c r="O25" s="21">
        <f>Q24</f>
        <v>1000</v>
      </c>
      <c r="P25" s="21">
        <f>R24</f>
        <v>1</v>
      </c>
      <c r="Q25" s="21">
        <v>0</v>
      </c>
      <c r="R25" s="21">
        <v>0</v>
      </c>
      <c r="S25" s="9">
        <v>13</v>
      </c>
      <c r="T25" s="9">
        <v>1</v>
      </c>
      <c r="U25" s="22">
        <v>15</v>
      </c>
      <c r="V25" s="22">
        <v>1</v>
      </c>
      <c r="W25" s="9">
        <v>12</v>
      </c>
      <c r="X25" s="22">
        <v>1</v>
      </c>
    </row>
    <row r="26" spans="1:24">
      <c r="A26" s="9" t="s">
        <v>75</v>
      </c>
      <c r="B26" s="9" t="str">
        <f>VLOOKUP(A26,Restaurants!$C$5:$D$15,2,FALSE)</f>
        <v>Blt Burger</v>
      </c>
      <c r="C26" s="21">
        <f>S18</f>
        <v>17</v>
      </c>
      <c r="D26" s="21">
        <f>T18</f>
        <v>1</v>
      </c>
      <c r="E26" s="21">
        <f>S19</f>
        <v>23</v>
      </c>
      <c r="F26" s="21">
        <f>T19</f>
        <v>3</v>
      </c>
      <c r="G26" s="21">
        <f>S20</f>
        <v>8</v>
      </c>
      <c r="H26" s="21">
        <f>T20</f>
        <v>1</v>
      </c>
      <c r="I26" s="21">
        <f>S21</f>
        <v>13</v>
      </c>
      <c r="J26" s="21">
        <f>T21</f>
        <v>1</v>
      </c>
      <c r="K26" s="21">
        <f>S22</f>
        <v>7</v>
      </c>
      <c r="L26" s="21">
        <f>T22</f>
        <v>1</v>
      </c>
      <c r="M26" s="21">
        <f>S23</f>
        <v>17</v>
      </c>
      <c r="N26" s="21">
        <f>T23</f>
        <v>2</v>
      </c>
      <c r="O26" s="21">
        <f>S24</f>
        <v>1000</v>
      </c>
      <c r="P26" s="21">
        <f>T24</f>
        <v>1</v>
      </c>
      <c r="Q26" s="21">
        <f>S25</f>
        <v>13</v>
      </c>
      <c r="R26" s="21">
        <f>T25</f>
        <v>1</v>
      </c>
      <c r="S26" s="21">
        <v>0</v>
      </c>
      <c r="T26" s="21">
        <v>0</v>
      </c>
      <c r="U26" s="22">
        <v>12</v>
      </c>
      <c r="V26" s="22">
        <v>1</v>
      </c>
      <c r="W26" s="9">
        <v>13</v>
      </c>
      <c r="X26" s="22">
        <v>1</v>
      </c>
    </row>
    <row r="27" spans="1:24">
      <c r="A27" s="9" t="s">
        <v>76</v>
      </c>
      <c r="B27" s="9" t="str">
        <f>VLOOKUP(A27,Restaurants!$C$5:$D$15,2,FALSE)</f>
        <v>DB Bistro Moderne</v>
      </c>
      <c r="C27" s="21">
        <f>U18</f>
        <v>13</v>
      </c>
      <c r="D27" s="21">
        <f>V18</f>
        <v>1</v>
      </c>
      <c r="E27" s="21">
        <f>U19</f>
        <v>20</v>
      </c>
      <c r="F27" s="21">
        <f>V19</f>
        <v>1</v>
      </c>
      <c r="G27" s="21">
        <f>U20</f>
        <v>13</v>
      </c>
      <c r="H27" s="21">
        <f>V20</f>
        <v>1</v>
      </c>
      <c r="I27" s="21">
        <f>U21</f>
        <v>7</v>
      </c>
      <c r="J27" s="21">
        <f>V21</f>
        <v>1</v>
      </c>
      <c r="K27" s="21">
        <f>U22</f>
        <v>16</v>
      </c>
      <c r="L27" s="21">
        <f>V22</f>
        <v>2</v>
      </c>
      <c r="M27" s="21">
        <f>U23</f>
        <v>12</v>
      </c>
      <c r="N27" s="21">
        <f>V23</f>
        <v>1</v>
      </c>
      <c r="O27" s="21">
        <f>U24</f>
        <v>13</v>
      </c>
      <c r="P27" s="21">
        <f>V24</f>
        <v>1</v>
      </c>
      <c r="Q27" s="21">
        <f>U25</f>
        <v>15</v>
      </c>
      <c r="R27" s="21">
        <f>V25</f>
        <v>1</v>
      </c>
      <c r="S27" s="21">
        <f>U26</f>
        <v>12</v>
      </c>
      <c r="T27" s="21">
        <f>V26</f>
        <v>1</v>
      </c>
      <c r="U27" s="21">
        <v>0</v>
      </c>
      <c r="V27" s="21">
        <v>0</v>
      </c>
      <c r="W27" s="9">
        <v>22</v>
      </c>
      <c r="X27" s="22">
        <v>2</v>
      </c>
    </row>
    <row r="28" spans="1:24">
      <c r="A28" s="22" t="s">
        <v>74</v>
      </c>
      <c r="B28" s="9" t="str">
        <f>VLOOKUP(A28,Restaurants!$C$5:$D$15,2,FALSE)</f>
        <v>Paul's "Da Burger Joint"</v>
      </c>
      <c r="C28" s="21">
        <f>W18</f>
        <v>26</v>
      </c>
      <c r="D28" s="21">
        <f>X18</f>
        <v>2</v>
      </c>
      <c r="E28" s="21">
        <f>W19</f>
        <v>22</v>
      </c>
      <c r="F28" s="21">
        <f>X19</f>
        <v>1</v>
      </c>
      <c r="G28" s="21">
        <f>W20</f>
        <v>11</v>
      </c>
      <c r="H28" s="21">
        <f>X20</f>
        <v>1</v>
      </c>
      <c r="I28" s="21">
        <f>W21</f>
        <v>22</v>
      </c>
      <c r="J28" s="21">
        <f>X21</f>
        <v>2</v>
      </c>
      <c r="K28" s="21">
        <f>W22</f>
        <v>18</v>
      </c>
      <c r="L28" s="21">
        <f>X22</f>
        <v>1</v>
      </c>
      <c r="M28" s="21">
        <f>W23</f>
        <v>22</v>
      </c>
      <c r="N28" s="21">
        <f>X23</f>
        <v>1</v>
      </c>
      <c r="O28" s="47">
        <f>W24</f>
        <v>16</v>
      </c>
      <c r="P28" s="47">
        <f>X24</f>
        <v>1</v>
      </c>
      <c r="Q28" s="21">
        <f>W25</f>
        <v>12</v>
      </c>
      <c r="R28" s="21">
        <f>X25</f>
        <v>1</v>
      </c>
      <c r="S28" s="21">
        <f>W26</f>
        <v>13</v>
      </c>
      <c r="T28" s="21">
        <f>X26</f>
        <v>1</v>
      </c>
      <c r="U28" s="21">
        <f>W27</f>
        <v>22</v>
      </c>
      <c r="V28" s="21">
        <f>X27</f>
        <v>2</v>
      </c>
      <c r="W28" s="21">
        <v>0</v>
      </c>
      <c r="X28" s="21">
        <v>0</v>
      </c>
    </row>
    <row r="30" spans="1:24">
      <c r="A30" s="46" t="s">
        <v>26</v>
      </c>
      <c r="B30" s="46"/>
      <c r="C30" s="9" t="s">
        <v>16</v>
      </c>
      <c r="D30" s="9" t="s">
        <v>29</v>
      </c>
      <c r="E30" s="9" t="s">
        <v>11</v>
      </c>
      <c r="F30" s="9" t="s">
        <v>31</v>
      </c>
      <c r="G30" s="9" t="s">
        <v>9</v>
      </c>
      <c r="H30" s="9" t="s">
        <v>31</v>
      </c>
      <c r="I30" s="9" t="s">
        <v>10</v>
      </c>
      <c r="J30" s="9" t="s">
        <v>31</v>
      </c>
      <c r="K30" s="9" t="s">
        <v>20</v>
      </c>
      <c r="L30" s="9" t="s">
        <v>31</v>
      </c>
      <c r="M30" s="9" t="s">
        <v>28</v>
      </c>
      <c r="N30" s="9" t="s">
        <v>31</v>
      </c>
      <c r="O30" s="9" t="s">
        <v>17</v>
      </c>
      <c r="P30" s="9" t="s">
        <v>31</v>
      </c>
      <c r="Q30" s="9" t="s">
        <v>18</v>
      </c>
      <c r="S30" s="9" t="s">
        <v>75</v>
      </c>
      <c r="U30" s="22" t="s">
        <v>76</v>
      </c>
      <c r="V30" s="22"/>
      <c r="W30" s="22" t="s">
        <v>74</v>
      </c>
    </row>
    <row r="31" spans="1:24">
      <c r="A31" s="46"/>
      <c r="B31" s="46"/>
      <c r="C31" s="9" t="str">
        <f>VLOOKUP(C30,$A$4:$B$14,2,FALSE)</f>
        <v xml:space="preserve">Five Napkin Burger </v>
      </c>
      <c r="E31" s="9" t="str">
        <f>VLOOKUP(E30,$A$4:$B$14,2,FALSE)</f>
        <v xml:space="preserve">J.G. Melon </v>
      </c>
      <c r="G31" s="9" t="str">
        <f>VLOOKUP(G30,$A$4:$B$14,2,FALSE)</f>
        <v xml:space="preserve">Shake Shack </v>
      </c>
      <c r="I31" s="9" t="str">
        <f>VLOOKUP(I30,$A$4:$B$14,2,FALSE)</f>
        <v>Burger Joint at Le Parker Meridien</v>
      </c>
      <c r="K31" s="9" t="str">
        <f>VLOOKUP(K30,$A$4:$B$14,2,FALSE)</f>
        <v>Corner Bistro</v>
      </c>
      <c r="M31" s="9" t="str">
        <f>VLOOKUP(M30,$A$4:$B$14,2,FALSE)</f>
        <v>Rare Bar &amp; Grill</v>
      </c>
      <c r="O31" s="9" t="str">
        <f>VLOOKUP(O30,$A$4:$B$14,2,FALSE)</f>
        <v>Minetta Tavern</v>
      </c>
      <c r="Q31" s="9" t="str">
        <f>VLOOKUP(Q30,$A$4:$B$14,2,FALSE)</f>
        <v>West 3rd Common</v>
      </c>
      <c r="S31" s="9" t="str">
        <f>VLOOKUP(S30,$A$4:$B$14,2,FALSE)</f>
        <v>Blt Burger</v>
      </c>
      <c r="U31" s="9" t="str">
        <f>VLOOKUP(U30,$A$4:$B$14,2,FALSE)</f>
        <v>DB Bistro Moderne</v>
      </c>
      <c r="V31" s="22"/>
      <c r="W31" s="9" t="str">
        <f>VLOOKUP(W30,$A$4:$B$14,2,FALSE)</f>
        <v>Paul's "Da Burger Joint"</v>
      </c>
    </row>
    <row r="32" spans="1:24">
      <c r="A32" s="9" t="s">
        <v>16</v>
      </c>
      <c r="B32" s="9" t="str">
        <f>VLOOKUP(A32,Restaurants!$C$5:$D$15,2,FALSE)</f>
        <v xml:space="preserve">Five Napkin Burger </v>
      </c>
      <c r="C32" s="21">
        <v>0</v>
      </c>
      <c r="D32" s="21">
        <v>0</v>
      </c>
      <c r="E32" s="9">
        <v>9</v>
      </c>
      <c r="F32" s="9">
        <v>2.8</v>
      </c>
      <c r="G32" s="9">
        <v>8</v>
      </c>
      <c r="H32" s="9">
        <v>1.9</v>
      </c>
      <c r="I32" s="22">
        <v>6</v>
      </c>
      <c r="J32" s="9">
        <v>1.1000000000000001</v>
      </c>
      <c r="K32" s="22">
        <v>8</v>
      </c>
      <c r="L32" s="9">
        <v>1.9</v>
      </c>
      <c r="M32" s="22">
        <v>7</v>
      </c>
      <c r="N32" s="22">
        <v>1.4</v>
      </c>
      <c r="O32" s="22">
        <v>11</v>
      </c>
      <c r="P32" s="22">
        <v>3</v>
      </c>
      <c r="Q32" s="22">
        <v>11</v>
      </c>
      <c r="R32" s="22">
        <v>3</v>
      </c>
      <c r="S32" s="22">
        <v>9</v>
      </c>
      <c r="T32" s="22">
        <v>2.2000000000000002</v>
      </c>
      <c r="U32" s="22">
        <v>5</v>
      </c>
      <c r="V32" s="22">
        <v>1</v>
      </c>
      <c r="W32" s="9">
        <v>12</v>
      </c>
      <c r="X32" s="9">
        <v>3.2</v>
      </c>
    </row>
    <row r="33" spans="1:24">
      <c r="A33" s="9" t="s">
        <v>11</v>
      </c>
      <c r="B33" s="9" t="str">
        <f>VLOOKUP(A33,Restaurants!$C$5:$D$15,2,FALSE)</f>
        <v xml:space="preserve">J.G. Melon </v>
      </c>
      <c r="C33" s="21">
        <f>E32</f>
        <v>9</v>
      </c>
      <c r="D33" s="21">
        <f>F32</f>
        <v>2.8</v>
      </c>
      <c r="E33" s="21">
        <v>0</v>
      </c>
      <c r="F33" s="21">
        <v>0</v>
      </c>
      <c r="G33" s="9">
        <v>10</v>
      </c>
      <c r="H33" s="9">
        <v>3</v>
      </c>
      <c r="I33" s="9">
        <v>10</v>
      </c>
      <c r="J33" s="9">
        <v>1.9</v>
      </c>
      <c r="K33" s="22">
        <v>14</v>
      </c>
      <c r="L33" s="9">
        <v>4.3</v>
      </c>
      <c r="M33" s="22">
        <v>8</v>
      </c>
      <c r="N33" s="22">
        <v>2.2999999999999998</v>
      </c>
      <c r="O33" s="22">
        <v>13</v>
      </c>
      <c r="P33" s="22">
        <v>4.4000000000000004</v>
      </c>
      <c r="Q33" s="22">
        <v>13</v>
      </c>
      <c r="R33" s="22">
        <v>4</v>
      </c>
      <c r="S33" s="22">
        <v>11</v>
      </c>
      <c r="T33" s="22">
        <v>3.7</v>
      </c>
      <c r="U33" s="22">
        <v>6</v>
      </c>
      <c r="V33" s="22">
        <v>2</v>
      </c>
      <c r="W33" s="9">
        <v>10</v>
      </c>
      <c r="X33" s="9">
        <v>3.5</v>
      </c>
    </row>
    <row r="34" spans="1:24">
      <c r="A34" s="9" t="s">
        <v>9</v>
      </c>
      <c r="B34" s="9" t="str">
        <f>VLOOKUP(A34,Restaurants!$C$5:$D$15,2,FALSE)</f>
        <v xml:space="preserve">Shake Shack </v>
      </c>
      <c r="C34" s="21">
        <f>G32</f>
        <v>8</v>
      </c>
      <c r="D34" s="21">
        <f>H32</f>
        <v>1.9</v>
      </c>
      <c r="E34" s="21">
        <f>G33</f>
        <v>10</v>
      </c>
      <c r="F34" s="21">
        <f>H33</f>
        <v>3</v>
      </c>
      <c r="G34" s="21">
        <v>0</v>
      </c>
      <c r="H34" s="21">
        <v>0</v>
      </c>
      <c r="I34" s="9">
        <v>11</v>
      </c>
      <c r="J34" s="9">
        <v>2.2999999999999998</v>
      </c>
      <c r="K34" s="9">
        <v>6</v>
      </c>
      <c r="L34" s="9">
        <v>1.7</v>
      </c>
      <c r="M34" s="22">
        <v>3</v>
      </c>
      <c r="N34" s="22">
        <v>0.9</v>
      </c>
      <c r="O34" s="22">
        <v>6</v>
      </c>
      <c r="P34" s="22">
        <v>1.7</v>
      </c>
      <c r="Q34" s="22">
        <v>6</v>
      </c>
      <c r="R34" s="22">
        <v>1.7</v>
      </c>
      <c r="S34" s="22">
        <v>3</v>
      </c>
      <c r="T34" s="22">
        <v>0.9</v>
      </c>
      <c r="U34" s="22">
        <v>6</v>
      </c>
      <c r="V34" s="22">
        <v>1.5</v>
      </c>
      <c r="W34" s="9">
        <v>5</v>
      </c>
      <c r="X34" s="9">
        <v>1.3</v>
      </c>
    </row>
    <row r="35" spans="1:24">
      <c r="A35" s="9" t="s">
        <v>10</v>
      </c>
      <c r="B35" s="9" t="str">
        <f>VLOOKUP(A35,Restaurants!$C$5:$D$15,2,FALSE)</f>
        <v>Burger Joint at Le Parker Meridien</v>
      </c>
      <c r="C35" s="21">
        <f>I32</f>
        <v>6</v>
      </c>
      <c r="D35" s="21">
        <f>J32</f>
        <v>1.1000000000000001</v>
      </c>
      <c r="E35" s="21">
        <f>I33</f>
        <v>10</v>
      </c>
      <c r="F35" s="21">
        <f>J33</f>
        <v>1.9</v>
      </c>
      <c r="G35" s="21">
        <f>I34</f>
        <v>11</v>
      </c>
      <c r="H35" s="21">
        <f>J34</f>
        <v>2.2999999999999998</v>
      </c>
      <c r="I35" s="21">
        <v>0</v>
      </c>
      <c r="J35" s="21">
        <v>0</v>
      </c>
      <c r="K35" s="22">
        <v>11</v>
      </c>
      <c r="L35" s="9">
        <v>2.8</v>
      </c>
      <c r="M35" s="22">
        <v>7</v>
      </c>
      <c r="N35" s="22">
        <v>1.5</v>
      </c>
      <c r="O35" s="22">
        <v>13</v>
      </c>
      <c r="P35" s="22">
        <v>3.4</v>
      </c>
      <c r="Q35" s="22">
        <v>14</v>
      </c>
      <c r="R35" s="22">
        <v>3.4</v>
      </c>
      <c r="S35" s="22">
        <v>11</v>
      </c>
      <c r="T35" s="22">
        <v>2.6</v>
      </c>
      <c r="U35" s="22">
        <v>8</v>
      </c>
      <c r="V35" s="22">
        <v>1.4</v>
      </c>
      <c r="W35" s="9">
        <v>15</v>
      </c>
      <c r="X35" s="9">
        <v>3.6</v>
      </c>
    </row>
    <row r="36" spans="1:24">
      <c r="A36" s="9" t="s">
        <v>20</v>
      </c>
      <c r="B36" s="9" t="str">
        <f>VLOOKUP(A36,Restaurants!$C$5:$D$15,2,FALSE)</f>
        <v>Corner Bistro</v>
      </c>
      <c r="C36" s="21">
        <f>K32</f>
        <v>8</v>
      </c>
      <c r="D36" s="21">
        <f>L32</f>
        <v>1.9</v>
      </c>
      <c r="E36" s="21">
        <f>K33</f>
        <v>14</v>
      </c>
      <c r="F36" s="21">
        <f>L33</f>
        <v>4.3</v>
      </c>
      <c r="G36" s="21">
        <f>K34</f>
        <v>6</v>
      </c>
      <c r="H36" s="21">
        <f>L34</f>
        <v>1.7</v>
      </c>
      <c r="I36" s="21">
        <f>K35</f>
        <v>11</v>
      </c>
      <c r="J36" s="21">
        <f>L35</f>
        <v>2.8</v>
      </c>
      <c r="K36" s="21">
        <v>0</v>
      </c>
      <c r="L36" s="21">
        <v>0</v>
      </c>
      <c r="M36" s="22">
        <v>8</v>
      </c>
      <c r="N36" s="22">
        <v>2.2000000000000002</v>
      </c>
      <c r="O36" s="9">
        <v>4</v>
      </c>
      <c r="P36" s="9">
        <v>1.1000000000000001</v>
      </c>
      <c r="Q36" s="9">
        <v>6</v>
      </c>
      <c r="R36" s="9">
        <v>1.2</v>
      </c>
      <c r="S36" s="9">
        <v>3</v>
      </c>
      <c r="T36" s="9">
        <v>0.6</v>
      </c>
      <c r="U36" s="22">
        <v>9</v>
      </c>
      <c r="V36" s="22">
        <v>2.4</v>
      </c>
      <c r="W36" s="9">
        <v>7</v>
      </c>
      <c r="X36" s="9">
        <v>2</v>
      </c>
    </row>
    <row r="37" spans="1:24">
      <c r="A37" s="9" t="s">
        <v>28</v>
      </c>
      <c r="B37" s="9" t="str">
        <f>VLOOKUP(A37,Restaurants!$C$5:$D$15,2,FALSE)</f>
        <v>Rare Bar &amp; Grill</v>
      </c>
      <c r="C37" s="21">
        <f>M32</f>
        <v>7</v>
      </c>
      <c r="D37" s="21">
        <f>N32</f>
        <v>1.4</v>
      </c>
      <c r="E37" s="21">
        <f>M33</f>
        <v>8</v>
      </c>
      <c r="F37" s="21">
        <f>N33</f>
        <v>2.2999999999999998</v>
      </c>
      <c r="G37" s="21">
        <f>M34</f>
        <v>3</v>
      </c>
      <c r="H37" s="21">
        <f>N34</f>
        <v>0.9</v>
      </c>
      <c r="I37" s="21">
        <f>M35</f>
        <v>7</v>
      </c>
      <c r="J37" s="21">
        <f>N35</f>
        <v>1.5</v>
      </c>
      <c r="K37" s="21">
        <f>M36</f>
        <v>8</v>
      </c>
      <c r="L37" s="21">
        <f>N36</f>
        <v>2.2000000000000002</v>
      </c>
      <c r="M37" s="21">
        <v>0</v>
      </c>
      <c r="N37" s="21">
        <v>0</v>
      </c>
      <c r="O37" s="9">
        <v>9</v>
      </c>
      <c r="P37" s="9">
        <v>2.6</v>
      </c>
      <c r="Q37" s="9">
        <v>8</v>
      </c>
      <c r="R37" s="9">
        <v>2.2000000000000002</v>
      </c>
      <c r="S37" s="9">
        <v>6</v>
      </c>
      <c r="T37" s="9">
        <v>1.8</v>
      </c>
      <c r="U37" s="22">
        <v>5</v>
      </c>
      <c r="V37" s="22">
        <v>0.8</v>
      </c>
      <c r="W37" s="9">
        <v>6</v>
      </c>
      <c r="X37" s="9">
        <v>1.9</v>
      </c>
    </row>
    <row r="38" spans="1:24">
      <c r="A38" s="9" t="s">
        <v>17</v>
      </c>
      <c r="B38" s="9" t="str">
        <f>VLOOKUP(A38,Restaurants!$C$5:$D$15,2,FALSE)</f>
        <v>Minetta Tavern</v>
      </c>
      <c r="C38" s="21">
        <f>O32</f>
        <v>11</v>
      </c>
      <c r="D38" s="21">
        <f>P32</f>
        <v>3</v>
      </c>
      <c r="E38" s="21">
        <f>O33</f>
        <v>13</v>
      </c>
      <c r="F38" s="21">
        <f>P33</f>
        <v>4.4000000000000004</v>
      </c>
      <c r="G38" s="21">
        <f>O34</f>
        <v>6</v>
      </c>
      <c r="H38" s="21">
        <f>P34</f>
        <v>1.7</v>
      </c>
      <c r="I38" s="21">
        <f>O35</f>
        <v>13</v>
      </c>
      <c r="J38" s="21">
        <f>P35</f>
        <v>3.4</v>
      </c>
      <c r="K38" s="21">
        <f>O36</f>
        <v>4</v>
      </c>
      <c r="L38" s="21">
        <f>P36</f>
        <v>1.1000000000000001</v>
      </c>
      <c r="M38" s="21">
        <f>O37</f>
        <v>9</v>
      </c>
      <c r="N38" s="21">
        <f>P37</f>
        <v>2.6</v>
      </c>
      <c r="O38" s="21">
        <v>0</v>
      </c>
      <c r="P38" s="21">
        <v>0</v>
      </c>
      <c r="Q38" s="9">
        <v>0.4</v>
      </c>
      <c r="R38" s="9">
        <v>2</v>
      </c>
      <c r="S38" s="9">
        <v>4</v>
      </c>
      <c r="T38" s="9">
        <v>0.7</v>
      </c>
      <c r="U38" s="22">
        <v>10</v>
      </c>
      <c r="V38" s="22">
        <v>2.7</v>
      </c>
      <c r="W38" s="9">
        <v>4</v>
      </c>
      <c r="X38" s="9">
        <v>0.9</v>
      </c>
    </row>
    <row r="39" spans="1:24">
      <c r="A39" s="9" t="s">
        <v>18</v>
      </c>
      <c r="B39" s="9" t="str">
        <f>VLOOKUP(A39,Restaurants!$C$5:$D$15,2,FALSE)</f>
        <v>West 3rd Common</v>
      </c>
      <c r="C39" s="21">
        <f>Q32</f>
        <v>11</v>
      </c>
      <c r="D39" s="21">
        <f>R32</f>
        <v>3</v>
      </c>
      <c r="E39" s="21">
        <f>Q33</f>
        <v>13</v>
      </c>
      <c r="F39" s="21">
        <f>R33</f>
        <v>4</v>
      </c>
      <c r="G39" s="21">
        <f>Q34</f>
        <v>6</v>
      </c>
      <c r="H39" s="21">
        <f>R34</f>
        <v>1.7</v>
      </c>
      <c r="I39" s="21">
        <f>Q35</f>
        <v>14</v>
      </c>
      <c r="J39" s="21">
        <f>R35</f>
        <v>3.4</v>
      </c>
      <c r="K39" s="21">
        <f>Q36</f>
        <v>6</v>
      </c>
      <c r="L39" s="21">
        <f>R36</f>
        <v>1.2</v>
      </c>
      <c r="M39" s="21">
        <f>Q37</f>
        <v>8</v>
      </c>
      <c r="N39" s="21">
        <f>R37</f>
        <v>2.2000000000000002</v>
      </c>
      <c r="O39" s="21">
        <f>Q38</f>
        <v>0.4</v>
      </c>
      <c r="P39" s="21">
        <f>R38</f>
        <v>2</v>
      </c>
      <c r="Q39" s="21">
        <v>0</v>
      </c>
      <c r="R39" s="21">
        <v>0</v>
      </c>
      <c r="S39" s="9">
        <v>3</v>
      </c>
      <c r="T39" s="9">
        <v>1.1000000000000001</v>
      </c>
      <c r="U39" s="22">
        <v>8</v>
      </c>
      <c r="V39" s="22">
        <v>2.4</v>
      </c>
      <c r="W39" s="9">
        <v>3</v>
      </c>
      <c r="X39" s="9">
        <v>0.5</v>
      </c>
    </row>
    <row r="40" spans="1:24">
      <c r="A40" s="9" t="s">
        <v>75</v>
      </c>
      <c r="B40" s="9" t="str">
        <f>VLOOKUP(A40,Restaurants!$C$5:$D$15,2,FALSE)</f>
        <v>Blt Burger</v>
      </c>
      <c r="C40" s="21">
        <f>S32</f>
        <v>9</v>
      </c>
      <c r="D40" s="21">
        <f>T32</f>
        <v>2.2000000000000002</v>
      </c>
      <c r="E40" s="21">
        <f>S33</f>
        <v>11</v>
      </c>
      <c r="F40" s="21">
        <f>T33</f>
        <v>3.7</v>
      </c>
      <c r="G40" s="21">
        <f>S34</f>
        <v>3</v>
      </c>
      <c r="H40" s="21">
        <f>T34</f>
        <v>0.9</v>
      </c>
      <c r="I40" s="21">
        <f>S35</f>
        <v>11</v>
      </c>
      <c r="J40" s="21">
        <f>T35</f>
        <v>2.6</v>
      </c>
      <c r="K40" s="21">
        <f>S36</f>
        <v>3</v>
      </c>
      <c r="L40" s="21">
        <f>T36</f>
        <v>0.6</v>
      </c>
      <c r="M40" s="21">
        <f>S37</f>
        <v>6</v>
      </c>
      <c r="N40" s="21">
        <f>T37</f>
        <v>1.8</v>
      </c>
      <c r="O40" s="21">
        <f>S38</f>
        <v>4</v>
      </c>
      <c r="P40" s="21">
        <f>T38</f>
        <v>0.7</v>
      </c>
      <c r="Q40" s="21">
        <f>S39</f>
        <v>3</v>
      </c>
      <c r="R40" s="21">
        <f>T39</f>
        <v>1.1000000000000001</v>
      </c>
      <c r="S40" s="21">
        <v>0</v>
      </c>
      <c r="T40" s="21">
        <v>0</v>
      </c>
      <c r="U40" s="22">
        <v>9</v>
      </c>
      <c r="V40" s="22">
        <v>2</v>
      </c>
      <c r="W40" s="9">
        <v>5</v>
      </c>
      <c r="X40" s="9">
        <v>1.6</v>
      </c>
    </row>
    <row r="41" spans="1:24">
      <c r="A41" s="9" t="s">
        <v>76</v>
      </c>
      <c r="B41" s="9" t="str">
        <f>VLOOKUP(A41,Restaurants!$C$5:$D$15,2,FALSE)</f>
        <v>DB Bistro Moderne</v>
      </c>
      <c r="C41" s="21">
        <f>U32</f>
        <v>5</v>
      </c>
      <c r="D41" s="21">
        <f>V32</f>
        <v>1</v>
      </c>
      <c r="E41" s="21">
        <f>U33</f>
        <v>6</v>
      </c>
      <c r="F41" s="21">
        <f>V33</f>
        <v>2</v>
      </c>
      <c r="G41" s="21">
        <f>U34</f>
        <v>6</v>
      </c>
      <c r="H41" s="21">
        <f>V34</f>
        <v>1.5</v>
      </c>
      <c r="I41" s="21">
        <f>U35</f>
        <v>8</v>
      </c>
      <c r="J41" s="21">
        <f>V35</f>
        <v>1.4</v>
      </c>
      <c r="K41" s="21">
        <f>U36</f>
        <v>9</v>
      </c>
      <c r="L41" s="21">
        <f>V36</f>
        <v>2.4</v>
      </c>
      <c r="M41" s="21">
        <f>U37</f>
        <v>5</v>
      </c>
      <c r="N41" s="21">
        <f>V37</f>
        <v>0.8</v>
      </c>
      <c r="O41" s="21">
        <f>U38</f>
        <v>10</v>
      </c>
      <c r="P41" s="21">
        <f>V38</f>
        <v>2.7</v>
      </c>
      <c r="Q41" s="21">
        <f>U39</f>
        <v>8</v>
      </c>
      <c r="R41" s="21">
        <f>V39</f>
        <v>2.4</v>
      </c>
      <c r="S41" s="21">
        <f>U40</f>
        <v>9</v>
      </c>
      <c r="T41" s="21">
        <f>V40</f>
        <v>2</v>
      </c>
      <c r="U41" s="21">
        <v>0</v>
      </c>
      <c r="V41" s="21">
        <v>0</v>
      </c>
      <c r="W41" s="9">
        <v>9</v>
      </c>
      <c r="X41" s="9">
        <v>2.6</v>
      </c>
    </row>
    <row r="42" spans="1:24">
      <c r="A42" s="22" t="s">
        <v>74</v>
      </c>
      <c r="B42" s="9" t="str">
        <f>VLOOKUP(A42,Restaurants!$C$5:$D$15,2,FALSE)</f>
        <v>Paul's "Da Burger Joint"</v>
      </c>
      <c r="C42" s="21">
        <f>W32</f>
        <v>12</v>
      </c>
      <c r="D42" s="21">
        <f>X32</f>
        <v>3.2</v>
      </c>
      <c r="E42" s="21">
        <f>W33</f>
        <v>10</v>
      </c>
      <c r="F42" s="21">
        <f>X33</f>
        <v>3.5</v>
      </c>
      <c r="G42" s="21">
        <f>W34</f>
        <v>5</v>
      </c>
      <c r="H42" s="21">
        <f>X34</f>
        <v>1.3</v>
      </c>
      <c r="I42" s="21">
        <f>W35</f>
        <v>15</v>
      </c>
      <c r="J42" s="21">
        <f>X35</f>
        <v>3.6</v>
      </c>
      <c r="K42" s="21">
        <f>W36</f>
        <v>7</v>
      </c>
      <c r="L42" s="21">
        <f>X36</f>
        <v>2</v>
      </c>
      <c r="M42" s="21">
        <f>W37</f>
        <v>6</v>
      </c>
      <c r="N42" s="21">
        <f>X37</f>
        <v>1.9</v>
      </c>
      <c r="O42" s="47">
        <f>W38</f>
        <v>4</v>
      </c>
      <c r="P42" s="47">
        <f>X38</f>
        <v>0.9</v>
      </c>
      <c r="Q42" s="21">
        <f>W39</f>
        <v>3</v>
      </c>
      <c r="R42" s="21">
        <f>X39</f>
        <v>0.5</v>
      </c>
      <c r="S42" s="21">
        <f>W40</f>
        <v>5</v>
      </c>
      <c r="T42" s="21">
        <f>X40</f>
        <v>1.6</v>
      </c>
      <c r="U42" s="21">
        <f>W41</f>
        <v>9</v>
      </c>
      <c r="V42" s="21">
        <f>X41</f>
        <v>2.6</v>
      </c>
      <c r="W42" s="21">
        <v>0</v>
      </c>
      <c r="X42" s="21">
        <v>0</v>
      </c>
    </row>
  </sheetData>
  <phoneticPr fontId="5"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codeName="Sheet8"/>
  <dimension ref="A7:B13"/>
  <sheetViews>
    <sheetView workbookViewId="0"/>
  </sheetViews>
  <sheetFormatPr defaultRowHeight="15"/>
  <sheetData>
    <row r="7" spans="1:2">
      <c r="A7" s="30"/>
      <c r="B7" s="30"/>
    </row>
    <row r="13" spans="1:2">
      <c r="B13" s="30"/>
    </row>
  </sheetData>
  <phoneticPr fontId="5"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Model</vt:lpstr>
      <vt:lpstr>Summary</vt:lpstr>
      <vt:lpstr>Restaurants</vt:lpstr>
      <vt:lpstr>costs</vt:lpstr>
      <vt:lpstr>Starting Points</vt:lpstr>
      <vt:lpstr>Time-Distance</vt:lpstr>
      <vt:lpstr>Time-Distance-Raw</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Wienke</dc:creator>
  <cp:lastModifiedBy>Robert Wienke</cp:lastModifiedBy>
  <dcterms:created xsi:type="dcterms:W3CDTF">2011-04-25T20:38:32Z</dcterms:created>
  <dcterms:modified xsi:type="dcterms:W3CDTF">2011-05-12T19:41:33Z</dcterms:modified>
</cp:coreProperties>
</file>