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90" windowWidth="18390" windowHeight="7065"/>
  </bookViews>
  <sheets>
    <sheet name="Model" sheetId="1" r:id="rId1"/>
    <sheet name="CB_DATA_" sheetId="5" state="veryHidden" r:id="rId2"/>
    <sheet name="Demand" sheetId="6" r:id="rId3"/>
    <sheet name="Fin" sheetId="4" r:id="rId4"/>
    <sheet name="Precision Tree" sheetId="10" r:id="rId5"/>
    <sheet name="_PalUtilTempWorksheet" sheetId="13" state="hidden" r:id="rId6"/>
    <sheet name="treeCalc_1" sheetId="12" state="hidden" r:id="rId7"/>
    <sheet name="Precision Tree (2)" sheetId="14" r:id="rId8"/>
    <sheet name="treeCalc_2" sheetId="15" state="hidden" r:id="rId9"/>
  </sheets>
  <definedNames>
    <definedName name="CB_5c0dc9f803b545d494a4cde234803b1e" localSheetId="2" hidden="1">Demand!$D$8</definedName>
    <definedName name="CB_7caecd88a58c4772a40c4284bfad3b11" localSheetId="2" hidden="1">Demand!$D$15</definedName>
    <definedName name="CB_9865be65ef45471e98e600a706468054" localSheetId="2" hidden="1">Demand!$D$9</definedName>
    <definedName name="CB_Block_00000000000000000000000000000000" localSheetId="2" hidden="1">"'7.0.0.0"</definedName>
    <definedName name="CB_Block_00000000000000000000000000000001" localSheetId="1" hidden="1">"'635340292997180261"</definedName>
    <definedName name="CB_Block_00000000000000000000000000000001" localSheetId="2" hidden="1">"'635340292997160729"</definedName>
    <definedName name="CB_Block_00000000000000000000000000000003" localSheetId="2" hidden="1">"'11.1.3419.0"</definedName>
    <definedName name="CB_BlockExt_00000000000000000000000000000003" localSheetId="2" hidden="1">"'11.1.2.3.000"</definedName>
    <definedName name="CB_dd39db833aa54b3aab072f9a8614d3f5" localSheetId="2" hidden="1">Demand!$F$7</definedName>
    <definedName name="CB_df8235e00c0946929d736cb8e8134905" localSheetId="2" hidden="1">Demand!$D$16</definedName>
    <definedName name="CB_e95c9dbe7ec34b369601482c6b4449e6" localSheetId="2" hidden="1">Demand!$E$7</definedName>
    <definedName name="CB_f0a850dbe03e44e0b03c4cdbeb0b5d98" localSheetId="2" hidden="1">Demand!$D$7</definedName>
    <definedName name="CB_f32f72498d8e41cf92f2b7da717df8b9" localSheetId="2" hidden="1">Demand!$D$14</definedName>
    <definedName name="CBCR_09d2ace1d3054681b00a85da823c7643" localSheetId="2" hidden="1">Demand!$B$16</definedName>
    <definedName name="CBCR_10536a09fff34db1a59c0ad6407cd18d" localSheetId="2" hidden="1">Demand!$C$7</definedName>
    <definedName name="CBCR_1e2f25eeaa67467692b05ab985b2d183" localSheetId="2" hidden="1">Demand!$C$14</definedName>
    <definedName name="CBCR_419d57a25fe843c699c048afe5f53e35" localSheetId="2" hidden="1">Demand!$B$8</definedName>
    <definedName name="CBCR_53d8a53dc0be4387b00562b8ea23a150" localSheetId="2" hidden="1">Demand!$C$8</definedName>
    <definedName name="CBCR_6371bd1bcdbb490e82ea34f507d21638" localSheetId="2" hidden="1">Demand!$C$15</definedName>
    <definedName name="CBCR_67420761ab3f431f9d49d3185a1a451b" localSheetId="2" hidden="1">Demand!$C$16</definedName>
    <definedName name="CBCR_a374b4b5a58e4cf59562d7a9288790d5" localSheetId="2" hidden="1">Demand!$C$9</definedName>
    <definedName name="CBCR_adbc1042255b4040ac22a0495a03e553" localSheetId="2" hidden="1">Demand!$B$15</definedName>
    <definedName name="CBCR_b06073d008c94762a65d5d6d53a236bb" localSheetId="2" hidden="1">Demand!$B$14</definedName>
    <definedName name="CBCR_c9e85085adb04a49a7512f14a573c872" localSheetId="2" hidden="1">Demand!$B$7</definedName>
    <definedName name="CBCR_e3b5d32c28944ed084141db4e716602d" localSheetId="2" hidden="1">Demand!$B$9</definedName>
    <definedName name="CBWorkbookPriority" localSheetId="1" hidden="1">-673981628</definedName>
    <definedName name="CBx_1b651f2ef6ff44d6abe79c8ebf5f7695" localSheetId="1" hidden="1">"'CB_DATA_'!$A$1"</definedName>
    <definedName name="CBx_69168a06c1dc4acba61a103433e9f3d0" localSheetId="1" hidden="1">"'Demand 2'!$A$1"</definedName>
    <definedName name="CBx_af325b656bba417ea9781ba74d19971a" localSheetId="1" hidden="1">"'Demand 1'!$A$1"</definedName>
    <definedName name="CBx_f41799330f93436499dab1c47ef543c0" localSheetId="1" hidden="1">"'Demand 3'!$A$1"</definedName>
    <definedName name="CBx_Sheet_Guid" localSheetId="1" hidden="1">"'1b651f2e-f6ff-44d6-abe7-9c8ebf5f7695"</definedName>
    <definedName name="CBx_Sheet_Guid" localSheetId="2" hidden="1">"'f4179933-0f93-4364-99da-b1c47ef543c0"</definedName>
    <definedName name="CBx_SheetRef" localSheetId="1" hidden="1">CB_DATA_!$A$14</definedName>
    <definedName name="CBx_SheetRef" localSheetId="2" hidden="1">CB_DATA_!$D$14</definedName>
    <definedName name="CBx_StorageType" localSheetId="1" hidden="1">2</definedName>
    <definedName name="CBx_StorageType" localSheetId="2" hidden="1">2</definedName>
    <definedName name="_xlnm.Print_Area" localSheetId="4">'Precision Tree'!$F$17:$J$81</definedName>
    <definedName name="_xlnm.Print_Area" localSheetId="7">'Precision Tree (2)'!$F$18:$J$49</definedName>
    <definedName name="solver_adj" localSheetId="0" hidden="1">Model!#REF!</definedName>
    <definedName name="solver_cvg" localSheetId="0" hidden="1">0.0001</definedName>
    <definedName name="solver_drv" localSheetId="0" hidden="1">2</definedName>
    <definedName name="solver_eng" localSheetId="0" hidden="1">1</definedName>
    <definedName name="solver_est" localSheetId="0" hidden="1">1</definedName>
    <definedName name="solver_itr" localSheetId="0" hidden="1">2147483647</definedName>
    <definedName name="solver_lhs1" localSheetId="0" hidden="1">Model!#REF!</definedName>
    <definedName name="solver_lhs2" localSheetId="0" hidden="1">Model!#REF!</definedName>
    <definedName name="solver_lhs3" localSheetId="0" hidden="1">Model!#REF!</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3</definedName>
    <definedName name="solver_nwt" localSheetId="0" hidden="1">1</definedName>
    <definedName name="solver_opt" localSheetId="0" hidden="1">Model!$B$101</definedName>
    <definedName name="solver_pre" localSheetId="0" hidden="1">0.000001</definedName>
    <definedName name="solver_rbv" localSheetId="0" hidden="1">2</definedName>
    <definedName name="solver_rel1" localSheetId="0" hidden="1">1</definedName>
    <definedName name="solver_rel2" localSheetId="0" hidden="1">4</definedName>
    <definedName name="solver_rel3" localSheetId="0" hidden="1">3</definedName>
    <definedName name="solver_rhs1" localSheetId="0" hidden="1">15</definedName>
    <definedName name="solver_rhs2" localSheetId="0" hidden="1">integer</definedName>
    <definedName name="solver_rhs3" localSheetId="0" hidden="1">1</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1</definedName>
    <definedName name="solver_val" localSheetId="0" hidden="1">0</definedName>
    <definedName name="solver_ver" localSheetId="0" hidden="1">3</definedName>
    <definedName name="treeList" hidden="1">"11000000000000000000000000000000000000000000000000000000000000000000000000000000000000000000000000000000000000000000000000000000000000000000000000000000000000000000000000000000000000000000000000000000"</definedName>
  </definedNames>
  <calcPr calcId="145621"/>
</workbook>
</file>

<file path=xl/calcChain.xml><?xml version="1.0" encoding="utf-8"?>
<calcChain xmlns="http://schemas.openxmlformats.org/spreadsheetml/2006/main">
  <c r="C10" i="14" l="1"/>
  <c r="E9" i="14"/>
  <c r="E10" i="14" s="1"/>
  <c r="D9" i="14"/>
  <c r="F9" i="14" s="1"/>
  <c r="C9" i="14"/>
  <c r="C8" i="14"/>
  <c r="F8" i="14" s="1"/>
  <c r="C7" i="14"/>
  <c r="F6" i="14"/>
  <c r="E6" i="14"/>
  <c r="E7" i="14" s="1"/>
  <c r="D6" i="14"/>
  <c r="D7" i="14" s="1"/>
  <c r="C6" i="14"/>
  <c r="F5" i="14"/>
  <c r="C5" i="14"/>
  <c r="C4" i="14"/>
  <c r="E3" i="14"/>
  <c r="E4" i="14" s="1"/>
  <c r="D3" i="14"/>
  <c r="F3" i="14" s="1"/>
  <c r="C3" i="14"/>
  <c r="C2" i="14"/>
  <c r="F2" i="14" s="1"/>
  <c r="F7" i="14" l="1"/>
  <c r="D4" i="14"/>
  <c r="F4" i="14" s="1"/>
  <c r="D10" i="14"/>
  <c r="F10" i="14" s="1"/>
  <c r="J32" i="15"/>
  <c r="O32" i="15"/>
  <c r="K39" i="15"/>
  <c r="J39" i="15"/>
  <c r="O39" i="15"/>
  <c r="K36" i="15"/>
  <c r="J36" i="15"/>
  <c r="O36" i="15"/>
  <c r="O19" i="15"/>
  <c r="K19" i="15"/>
  <c r="J19" i="15"/>
  <c r="O16" i="15"/>
  <c r="K16" i="15"/>
  <c r="J16" i="15"/>
  <c r="O12" i="15"/>
  <c r="J12" i="15"/>
  <c r="O11" i="15"/>
  <c r="K11" i="15"/>
  <c r="J11" i="15"/>
  <c r="B11" i="15"/>
  <c r="B2" i="15"/>
  <c r="I42" i="14"/>
  <c r="J38" i="15" s="1"/>
  <c r="I38" i="14"/>
  <c r="J37" i="15" s="1"/>
  <c r="I37" i="14"/>
  <c r="K37" i="15" s="1"/>
  <c r="I43" i="14"/>
  <c r="K40" i="15" s="1"/>
  <c r="I32" i="14"/>
  <c r="J21" i="15" s="1"/>
  <c r="I28" i="14"/>
  <c r="J20" i="15" s="1"/>
  <c r="I27" i="14"/>
  <c r="K20" i="15" s="1"/>
  <c r="I21" i="14"/>
  <c r="K17" i="15" s="1"/>
  <c r="A9" i="14"/>
  <c r="A10" i="14" s="1"/>
  <c r="I25" i="14"/>
  <c r="K18" i="15" s="1"/>
  <c r="A6" i="14"/>
  <c r="A7" i="14" s="1"/>
  <c r="I31" i="14"/>
  <c r="K21" i="15" s="1"/>
  <c r="I47" i="14"/>
  <c r="K41" i="15" s="1"/>
  <c r="A3" i="14"/>
  <c r="A4" i="14" s="1"/>
  <c r="I41" i="14"/>
  <c r="K38" i="15" s="1"/>
  <c r="K11" i="12"/>
  <c r="J11" i="12"/>
  <c r="O11" i="12"/>
  <c r="J32" i="12"/>
  <c r="O32" i="12"/>
  <c r="J22" i="12"/>
  <c r="O22" i="12"/>
  <c r="J12" i="12"/>
  <c r="O12" i="12"/>
  <c r="K36" i="12"/>
  <c r="J36" i="12"/>
  <c r="O36" i="12"/>
  <c r="K39" i="12"/>
  <c r="J39" i="12"/>
  <c r="O39" i="12"/>
  <c r="K33" i="12"/>
  <c r="J33" i="12"/>
  <c r="O33" i="12"/>
  <c r="K29" i="12"/>
  <c r="J29" i="12"/>
  <c r="O29" i="12"/>
  <c r="K26" i="12"/>
  <c r="J26" i="12"/>
  <c r="O26" i="12"/>
  <c r="K23" i="12"/>
  <c r="J23" i="12"/>
  <c r="O23" i="12"/>
  <c r="I69" i="10"/>
  <c r="I80" i="10"/>
  <c r="J38" i="12" s="1"/>
  <c r="I76" i="10"/>
  <c r="J37" i="12" s="1"/>
  <c r="I75" i="10"/>
  <c r="I61" i="10"/>
  <c r="I60" i="10"/>
  <c r="I56" i="10"/>
  <c r="I55" i="10"/>
  <c r="K30" i="12" s="1"/>
  <c r="I49" i="10"/>
  <c r="I41" i="10"/>
  <c r="K24" i="12" s="1"/>
  <c r="I38" i="10"/>
  <c r="I34" i="10"/>
  <c r="J20" i="12" s="1"/>
  <c r="I33" i="10"/>
  <c r="I27" i="10"/>
  <c r="K17" i="12" s="1"/>
  <c r="I19" i="10"/>
  <c r="E9" i="10"/>
  <c r="I46" i="10" s="1"/>
  <c r="J25" i="12" s="1"/>
  <c r="D9" i="10"/>
  <c r="I42" i="10" s="1"/>
  <c r="J24" i="12" s="1"/>
  <c r="D6" i="10"/>
  <c r="I20" i="10" s="1"/>
  <c r="J14" i="12" s="1"/>
  <c r="E6" i="10"/>
  <c r="I24" i="10" s="1"/>
  <c r="J15" i="12" s="1"/>
  <c r="D3" i="10"/>
  <c r="I62" i="10" s="1"/>
  <c r="J34" i="12" s="1"/>
  <c r="E3" i="10"/>
  <c r="I66" i="10" s="1"/>
  <c r="J35" i="12" s="1"/>
  <c r="K40" i="12"/>
  <c r="K37" i="12"/>
  <c r="K34" i="12"/>
  <c r="K27" i="12"/>
  <c r="K20" i="12"/>
  <c r="K19" i="12"/>
  <c r="J19" i="12"/>
  <c r="O19" i="12"/>
  <c r="K16" i="12"/>
  <c r="J16" i="12"/>
  <c r="O16" i="12"/>
  <c r="K14" i="12"/>
  <c r="K13" i="12"/>
  <c r="J13" i="12"/>
  <c r="O13" i="12"/>
  <c r="J31" i="12"/>
  <c r="J30" i="12"/>
  <c r="J21" i="12"/>
  <c r="B11" i="12"/>
  <c r="B2" i="12"/>
  <c r="C10" i="10"/>
  <c r="I53" i="10" s="1"/>
  <c r="K28" i="12" s="1"/>
  <c r="C9" i="10"/>
  <c r="I45" i="10" s="1"/>
  <c r="K25" i="12" s="1"/>
  <c r="A9" i="10"/>
  <c r="A10" i="10" s="1"/>
  <c r="C8" i="10"/>
  <c r="I59" i="10" s="1"/>
  <c r="K31" i="12" s="1"/>
  <c r="C7" i="10"/>
  <c r="I31" i="10" s="1"/>
  <c r="K18" i="12" s="1"/>
  <c r="C6" i="10"/>
  <c r="I23" i="10" s="1"/>
  <c r="K15" i="12" s="1"/>
  <c r="A6" i="10"/>
  <c r="A7" i="10" s="1"/>
  <c r="C5" i="10"/>
  <c r="I37" i="10" s="1"/>
  <c r="K21" i="12" s="1"/>
  <c r="C4" i="10"/>
  <c r="I73" i="10" s="1"/>
  <c r="K41" i="12" s="1"/>
  <c r="C3" i="10"/>
  <c r="I65" i="10" s="1"/>
  <c r="K35" i="12" s="1"/>
  <c r="A3" i="10"/>
  <c r="A4" i="10" s="1"/>
  <c r="C2" i="10"/>
  <c r="I79" i="10" s="1"/>
  <c r="K38" i="12" s="1"/>
  <c r="I48" i="14" l="1"/>
  <c r="J41" i="15" s="1"/>
  <c r="I26" i="14"/>
  <c r="J18" i="15" s="1"/>
  <c r="E4" i="10"/>
  <c r="I74" i="10" s="1"/>
  <c r="J41" i="12" s="1"/>
  <c r="D4" i="10"/>
  <c r="E7" i="10"/>
  <c r="I32" i="10" s="1"/>
  <c r="J18" i="12" s="1"/>
  <c r="D7" i="10"/>
  <c r="E10" i="10"/>
  <c r="I54" i="10" s="1"/>
  <c r="J28" i="12" s="1"/>
  <c r="D10" i="10"/>
  <c r="F2" i="10"/>
  <c r="F9" i="10"/>
  <c r="F8" i="10"/>
  <c r="F6" i="10"/>
  <c r="F5" i="10"/>
  <c r="F3" i="10"/>
  <c r="C16" i="6"/>
  <c r="C15" i="6"/>
  <c r="C14" i="6"/>
  <c r="C8" i="6"/>
  <c r="C9" i="6"/>
  <c r="C7" i="6"/>
  <c r="I22" i="14" l="1"/>
  <c r="J17" i="15" s="1"/>
  <c r="I44" i="14"/>
  <c r="J40" i="15" s="1"/>
  <c r="F11" i="14"/>
  <c r="I50" i="10"/>
  <c r="J27" i="12" s="1"/>
  <c r="F10" i="10"/>
  <c r="I28" i="10"/>
  <c r="J17" i="12" s="1"/>
  <c r="F7" i="10"/>
  <c r="I70" i="10"/>
  <c r="J40" i="12" s="1"/>
  <c r="F4" i="10"/>
  <c r="F11" i="10" s="1"/>
  <c r="D11" i="5"/>
  <c r="C11" i="5"/>
  <c r="B11" i="5"/>
  <c r="A11" i="5"/>
  <c r="F2" i="12"/>
  <c r="I22" i="10"/>
  <c r="J24" i="10"/>
  <c r="J31" i="10"/>
  <c r="J34" i="10"/>
  <c r="J42" i="10"/>
  <c r="J50" i="10"/>
  <c r="J56" i="10"/>
  <c r="J62" i="10"/>
  <c r="J76" i="10"/>
  <c r="J70" i="10"/>
  <c r="I52" i="10"/>
  <c r="I78" i="10"/>
  <c r="G47" i="10"/>
  <c r="F2" i="15"/>
  <c r="J19" i="10"/>
  <c r="I30" i="10"/>
  <c r="J32" i="10"/>
  <c r="J37" i="10"/>
  <c r="J45" i="10"/>
  <c r="J53" i="10"/>
  <c r="J59" i="10"/>
  <c r="J65" i="10"/>
  <c r="J79" i="10"/>
  <c r="J73" i="10"/>
  <c r="I58" i="10"/>
  <c r="H26" i="10"/>
  <c r="H68" i="10"/>
  <c r="H20" i="14"/>
  <c r="J25" i="14"/>
  <c r="I30" i="14"/>
  <c r="J43" i="14"/>
  <c r="J37" i="14"/>
  <c r="I40" i="14"/>
  <c r="J20" i="10"/>
  <c r="J27" i="10"/>
  <c r="I36" i="10"/>
  <c r="J38" i="10"/>
  <c r="J46" i="10"/>
  <c r="J54" i="10"/>
  <c r="J60" i="10"/>
  <c r="J66" i="10"/>
  <c r="J80" i="10"/>
  <c r="J74" i="10"/>
  <c r="I64" i="10"/>
  <c r="G25" i="10"/>
  <c r="G67" i="10"/>
  <c r="J21" i="14"/>
  <c r="J26" i="14"/>
  <c r="J31" i="14"/>
  <c r="J44" i="14"/>
  <c r="J38" i="14"/>
  <c r="I46" i="14"/>
  <c r="H36" i="14"/>
  <c r="J23" i="10"/>
  <c r="J28" i="10"/>
  <c r="J33" i="10"/>
  <c r="J41" i="10"/>
  <c r="J49" i="10"/>
  <c r="J55" i="10"/>
  <c r="J61" i="10"/>
  <c r="J75" i="10"/>
  <c r="J69" i="10"/>
  <c r="I44" i="10"/>
  <c r="I72" i="10"/>
  <c r="H48" i="10"/>
  <c r="G40" i="10"/>
  <c r="J22" i="14"/>
  <c r="J27" i="14"/>
  <c r="J32" i="14"/>
  <c r="J47" i="14"/>
  <c r="J41" i="14"/>
  <c r="G35" i="14"/>
  <c r="J42" i="14"/>
  <c r="J48" i="14"/>
  <c r="G34" i="14"/>
  <c r="J28" i="14"/>
  <c r="I24" i="14"/>
  <c r="G19" i="14"/>
  <c r="P2" i="5"/>
  <c r="A38" i="15" l="1"/>
  <c r="A36" i="15"/>
  <c r="A37" i="15"/>
  <c r="A41" i="15"/>
  <c r="A39" i="15"/>
  <c r="A40" i="15"/>
  <c r="A32" i="15"/>
  <c r="A11" i="15"/>
  <c r="A21" i="15"/>
  <c r="A19" i="15"/>
  <c r="A20" i="15"/>
  <c r="A18" i="15"/>
  <c r="A16" i="15"/>
  <c r="A17" i="15"/>
  <c r="A12" i="15"/>
  <c r="A22" i="12"/>
  <c r="A26" i="12"/>
  <c r="A29" i="12"/>
  <c r="A23" i="12"/>
  <c r="A41" i="12"/>
  <c r="A40" i="12"/>
  <c r="A39" i="12"/>
  <c r="A38" i="12"/>
  <c r="A37" i="12"/>
  <c r="A36" i="12"/>
  <c r="A35" i="12"/>
  <c r="A34" i="12"/>
  <c r="A33" i="12"/>
  <c r="A32" i="12"/>
  <c r="A31" i="12"/>
  <c r="A30" i="12"/>
  <c r="A28" i="12"/>
  <c r="A27" i="12"/>
  <c r="A25" i="12"/>
  <c r="A24" i="12"/>
  <c r="A21" i="12"/>
  <c r="A20" i="12"/>
  <c r="A19" i="12"/>
  <c r="A18" i="12"/>
  <c r="A17" i="12"/>
  <c r="A16" i="12"/>
  <c r="A15" i="12"/>
  <c r="A14" i="12"/>
  <c r="A13" i="12"/>
  <c r="A12" i="12"/>
  <c r="A11" i="12"/>
  <c r="B19" i="1"/>
  <c r="C24" i="1"/>
  <c r="D24" i="1" s="1"/>
  <c r="E24" i="1" s="1"/>
  <c r="F24" i="1" s="1"/>
  <c r="H2" i="4"/>
  <c r="D3" i="4"/>
  <c r="H3" i="4"/>
  <c r="H4" i="4" s="1"/>
  <c r="D4" i="4"/>
  <c r="C59" i="1" l="1"/>
  <c r="C92" i="1"/>
  <c r="D92" i="1"/>
  <c r="E92" i="1"/>
  <c r="F92" i="1"/>
  <c r="B92" i="1"/>
  <c r="B45" i="1"/>
  <c r="B44" i="1"/>
  <c r="C39" i="1"/>
  <c r="C44" i="1" s="1"/>
  <c r="C40" i="1"/>
  <c r="C45" i="1" s="1"/>
  <c r="C38" i="1"/>
  <c r="C33" i="1"/>
  <c r="D33" i="1" s="1"/>
  <c r="E33" i="1" s="1"/>
  <c r="F33" i="1" s="1"/>
  <c r="D59" i="1" l="1"/>
  <c r="D40" i="1"/>
  <c r="D39" i="1"/>
  <c r="D38" i="1"/>
  <c r="E59" i="1" l="1"/>
  <c r="E40" i="1"/>
  <c r="D45" i="1"/>
  <c r="E39" i="1"/>
  <c r="D44" i="1"/>
  <c r="E38" i="1"/>
  <c r="B43" i="1" l="1"/>
  <c r="B42" i="1" s="1"/>
  <c r="B34" i="1" s="1"/>
  <c r="B60" i="1"/>
  <c r="F59" i="1"/>
  <c r="F39" i="1"/>
  <c r="F44" i="1" s="1"/>
  <c r="E44" i="1"/>
  <c r="E45" i="1"/>
  <c r="F40" i="1"/>
  <c r="F45" i="1" s="1"/>
  <c r="F38" i="1"/>
  <c r="C19" i="1"/>
  <c r="C14" i="1"/>
  <c r="D14" i="1" s="1"/>
  <c r="E14" i="1" s="1"/>
  <c r="F14" i="1" s="1"/>
  <c r="C35" i="1"/>
  <c r="D35" i="1" s="1"/>
  <c r="E35" i="1" s="1"/>
  <c r="F35" i="1" s="1"/>
  <c r="B88" i="1"/>
  <c r="C68" i="1"/>
  <c r="D68" i="1" s="1"/>
  <c r="E68" i="1" s="1"/>
  <c r="F68" i="1" s="1"/>
  <c r="F88" i="1" s="1"/>
  <c r="C25" i="1"/>
  <c r="D25" i="1" s="1"/>
  <c r="E25" i="1" s="1"/>
  <c r="C26" i="1"/>
  <c r="D26" i="1" s="1"/>
  <c r="E26" i="1" s="1"/>
  <c r="F26" i="1" s="1"/>
  <c r="C53" i="1"/>
  <c r="D53" i="1" s="1"/>
  <c r="E53" i="1" s="1"/>
  <c r="F53" i="1" s="1"/>
  <c r="C56" i="1"/>
  <c r="D56" i="1" s="1"/>
  <c r="E56" i="1" s="1"/>
  <c r="F56" i="1" s="1"/>
  <c r="C55" i="1"/>
  <c r="D55" i="1" s="1"/>
  <c r="E55" i="1" s="1"/>
  <c r="F55" i="1" s="1"/>
  <c r="C61" i="1"/>
  <c r="D61" i="1" s="1"/>
  <c r="E61" i="1" s="1"/>
  <c r="F61" i="1" s="1"/>
  <c r="C62" i="1"/>
  <c r="D62" i="1" s="1"/>
  <c r="E62" i="1" s="1"/>
  <c r="F62" i="1" s="1"/>
  <c r="C64" i="1"/>
  <c r="D64" i="1" s="1"/>
  <c r="E64" i="1" s="1"/>
  <c r="F64" i="1" s="1"/>
  <c r="C70" i="1"/>
  <c r="D70" i="1" s="1"/>
  <c r="E70" i="1" s="1"/>
  <c r="F70" i="1" s="1"/>
  <c r="C71" i="1"/>
  <c r="D71" i="1" s="1"/>
  <c r="E71" i="1" s="1"/>
  <c r="F71" i="1" s="1"/>
  <c r="C69" i="1"/>
  <c r="D69" i="1" s="1"/>
  <c r="E69" i="1" s="1"/>
  <c r="F69" i="1" s="1"/>
  <c r="C67" i="1"/>
  <c r="D67" i="1" s="1"/>
  <c r="E67" i="1" s="1"/>
  <c r="F67" i="1" s="1"/>
  <c r="B30" i="1"/>
  <c r="B31" i="1"/>
  <c r="B29" i="1"/>
  <c r="C43" i="1" l="1"/>
  <c r="C42" i="1" s="1"/>
  <c r="C34" i="1" s="1"/>
  <c r="C60" i="1"/>
  <c r="D19" i="1"/>
  <c r="D30" i="1" s="1"/>
  <c r="D88" i="1"/>
  <c r="E88" i="1"/>
  <c r="C88" i="1"/>
  <c r="C30" i="1"/>
  <c r="C31" i="1"/>
  <c r="C29" i="1"/>
  <c r="F25" i="1"/>
  <c r="B89" i="1"/>
  <c r="C89" i="1"/>
  <c r="B91" i="1"/>
  <c r="B83" i="1"/>
  <c r="B86" i="1"/>
  <c r="D29" i="1" l="1"/>
  <c r="D60" i="1"/>
  <c r="D83" i="1" s="1"/>
  <c r="D31" i="1"/>
  <c r="D43" i="1"/>
  <c r="D42" i="1" s="1"/>
  <c r="D34" i="1" s="1"/>
  <c r="D77" i="1" s="1"/>
  <c r="E19" i="1"/>
  <c r="E76" i="1" s="1"/>
  <c r="B87" i="1"/>
  <c r="C83" i="1"/>
  <c r="C84" i="1"/>
  <c r="D84" i="1"/>
  <c r="E84" i="1"/>
  <c r="F84" i="1"/>
  <c r="B84" i="1"/>
  <c r="F91" i="1"/>
  <c r="E91" i="1"/>
  <c r="D91" i="1"/>
  <c r="C91" i="1"/>
  <c r="C82" i="1"/>
  <c r="D82" i="1"/>
  <c r="E82" i="1"/>
  <c r="F82" i="1"/>
  <c r="C85" i="1"/>
  <c r="D85" i="1"/>
  <c r="E85" i="1"/>
  <c r="F85" i="1"/>
  <c r="C86" i="1"/>
  <c r="D86" i="1"/>
  <c r="E86" i="1"/>
  <c r="F86" i="1"/>
  <c r="C87" i="1"/>
  <c r="D87" i="1"/>
  <c r="E87" i="1"/>
  <c r="F87" i="1"/>
  <c r="C90" i="1"/>
  <c r="D90" i="1"/>
  <c r="E90" i="1"/>
  <c r="F90" i="1"/>
  <c r="B90" i="1"/>
  <c r="B85" i="1"/>
  <c r="B82" i="1"/>
  <c r="F95" i="1"/>
  <c r="E95" i="1"/>
  <c r="D95" i="1"/>
  <c r="C95" i="1"/>
  <c r="B95" i="1"/>
  <c r="C77" i="1"/>
  <c r="B77" i="1"/>
  <c r="C76" i="1"/>
  <c r="D76" i="1"/>
  <c r="B76" i="1"/>
  <c r="C49" i="1"/>
  <c r="C81" i="1" s="1"/>
  <c r="B49" i="1"/>
  <c r="B81" i="1" s="1"/>
  <c r="D49" i="1" l="1"/>
  <c r="D81" i="1" s="1"/>
  <c r="E43" i="1"/>
  <c r="E42" i="1" s="1"/>
  <c r="E34" i="1" s="1"/>
  <c r="E60" i="1"/>
  <c r="E83" i="1" s="1"/>
  <c r="F19" i="1"/>
  <c r="E29" i="1"/>
  <c r="E31" i="1"/>
  <c r="E30" i="1"/>
  <c r="D89" i="1"/>
  <c r="D75" i="1"/>
  <c r="B75" i="1"/>
  <c r="C75" i="1"/>
  <c r="C80" i="1"/>
  <c r="B80" i="1"/>
  <c r="D80" i="1" l="1"/>
  <c r="D94" i="1" s="1"/>
  <c r="D99" i="1" s="1"/>
  <c r="F43" i="1"/>
  <c r="F42" i="1" s="1"/>
  <c r="F34" i="1" s="1"/>
  <c r="F60" i="1"/>
  <c r="F83" i="1" s="1"/>
  <c r="E77" i="1"/>
  <c r="E75" i="1" s="1"/>
  <c r="E49" i="1"/>
  <c r="E81" i="1" s="1"/>
  <c r="F30" i="1"/>
  <c r="F31" i="1"/>
  <c r="F29" i="1"/>
  <c r="F76" i="1"/>
  <c r="F89" i="1"/>
  <c r="E89" i="1"/>
  <c r="B94" i="1"/>
  <c r="B99" i="1" s="1"/>
  <c r="C94" i="1"/>
  <c r="C99" i="1" s="1"/>
  <c r="E80" i="1" l="1"/>
  <c r="E94" i="1" s="1"/>
  <c r="F77" i="1"/>
  <c r="F75" i="1" s="1"/>
  <c r="F49" i="1"/>
  <c r="F81" i="1" s="1"/>
  <c r="F80" i="1" s="1"/>
  <c r="B96" i="1"/>
  <c r="B97" i="1" s="1"/>
  <c r="C96" i="1"/>
  <c r="C97" i="1" s="1"/>
  <c r="D96" i="1"/>
  <c r="D97" i="1" s="1"/>
  <c r="E96" i="1" l="1"/>
  <c r="E97" i="1" s="1"/>
  <c r="E99" i="1"/>
  <c r="F94" i="1"/>
  <c r="F96" i="1" l="1"/>
  <c r="F97" i="1" s="1"/>
  <c r="F99" i="1"/>
  <c r="F100" i="1" l="1"/>
  <c r="B101" i="1" s="1"/>
  <c r="E7" i="6" l="1"/>
  <c r="F7" i="6" s="1"/>
</calcChain>
</file>

<file path=xl/sharedStrings.xml><?xml version="1.0" encoding="utf-8"?>
<sst xmlns="http://schemas.openxmlformats.org/spreadsheetml/2006/main" count="496" uniqueCount="222">
  <si>
    <t>Inputs</t>
  </si>
  <si>
    <t xml:space="preserve">   Annual</t>
  </si>
  <si>
    <t xml:space="preserve">   Weekly</t>
  </si>
  <si>
    <t xml:space="preserve">   Daily</t>
  </si>
  <si>
    <t xml:space="preserve">   Average miles/trip</t>
  </si>
  <si>
    <t>Repair and maintenace</t>
  </si>
  <si>
    <t xml:space="preserve">   Repair events per mile</t>
  </si>
  <si>
    <t xml:space="preserve">   Number of stations</t>
  </si>
  <si>
    <t>Corporate overhead</t>
  </si>
  <si>
    <t xml:space="preserve">   Calls to customer service</t>
  </si>
  <si>
    <t>Financial</t>
  </si>
  <si>
    <t xml:space="preserve">   Fleet size (# bicycles)</t>
  </si>
  <si>
    <t xml:space="preserve">   Number of employees</t>
  </si>
  <si>
    <t xml:space="preserve">   Marketing</t>
  </si>
  <si>
    <t xml:space="preserve">   Legal</t>
  </si>
  <si>
    <t>Income Statement Model</t>
  </si>
  <si>
    <t>Y1</t>
  </si>
  <si>
    <t>Y2</t>
  </si>
  <si>
    <t>Y3</t>
  </si>
  <si>
    <t>Y4</t>
  </si>
  <si>
    <t>Y5</t>
  </si>
  <si>
    <t xml:space="preserve">   Total number of miles traveled (#K)</t>
  </si>
  <si>
    <t>Revenue</t>
  </si>
  <si>
    <t xml:space="preserve">   Memberships</t>
  </si>
  <si>
    <t xml:space="preserve">   Sponsorship</t>
  </si>
  <si>
    <t xml:space="preserve">   Overage Fees</t>
  </si>
  <si>
    <t>Expenses</t>
  </si>
  <si>
    <t xml:space="preserve">   Snow Removal</t>
  </si>
  <si>
    <t xml:space="preserve">   Salaries</t>
  </si>
  <si>
    <t xml:space="preserve">   Rent and Utilities</t>
  </si>
  <si>
    <t xml:space="preserve">   Station Maintenance</t>
  </si>
  <si>
    <t xml:space="preserve">   Bicycle Repair</t>
  </si>
  <si>
    <t xml:space="preserve">   Depreciation</t>
  </si>
  <si>
    <t>NIBT</t>
  </si>
  <si>
    <t>Tax Rate</t>
  </si>
  <si>
    <t>NIAT</t>
  </si>
  <si>
    <t xml:space="preserve">   Insurance</t>
  </si>
  <si>
    <t xml:space="preserve">   Call Center</t>
  </si>
  <si>
    <t xml:space="preserve">   Web Maintenance</t>
  </si>
  <si>
    <t xml:space="preserve">   Tax rate</t>
  </si>
  <si>
    <t xml:space="preserve">   Cost per bicycle ($)</t>
  </si>
  <si>
    <t>Memberships (#)</t>
  </si>
  <si>
    <t>Membership price ($)</t>
  </si>
  <si>
    <t xml:space="preserve">   Cost of one repair event ($)</t>
  </si>
  <si>
    <t xml:space="preserve">   Snow removal cost/station ($)</t>
  </si>
  <si>
    <t xml:space="preserve">   Maintenance cost/station ($)</t>
  </si>
  <si>
    <t xml:space="preserve">   Cost per call ($)</t>
  </si>
  <si>
    <t xml:space="preserve">   Web maintenance ($)</t>
  </si>
  <si>
    <t xml:space="preserve">   Gross salary expense/employee ($)</t>
  </si>
  <si>
    <t xml:space="preserve">   Gross rental expense/sq ft ($)</t>
  </si>
  <si>
    <t xml:space="preserve">   Marketing ($)</t>
  </si>
  <si>
    <t xml:space="preserve">   Legal ($)</t>
  </si>
  <si>
    <t xml:space="preserve">   Insurance ($)</t>
  </si>
  <si>
    <t xml:space="preserve">   Depreciation allowance/yr</t>
  </si>
  <si>
    <t>Revenue % by membership type</t>
  </si>
  <si>
    <t>Annual Inflation</t>
  </si>
  <si>
    <t xml:space="preserve">   Square footage per employee (office)</t>
  </si>
  <si>
    <t xml:space="preserve">   Square footage leased (office)</t>
  </si>
  <si>
    <t xml:space="preserve">   Annual license fee per station ($)</t>
  </si>
  <si>
    <t xml:space="preserve">   Station License Fees</t>
  </si>
  <si>
    <t>Tax Paid</t>
  </si>
  <si>
    <t>x</t>
  </si>
  <si>
    <t>Overage events as % of trips</t>
  </si>
  <si>
    <t># trips/membership/year</t>
  </si>
  <si>
    <t>Total # of trips by member type (#K)</t>
  </si>
  <si>
    <t>Miles per trip (#K)</t>
  </si>
  <si>
    <t>Overage events/year</t>
  </si>
  <si>
    <t>Average charge per event ($)</t>
  </si>
  <si>
    <t xml:space="preserve">   # of cust service calls by member</t>
  </si>
  <si>
    <t>Price</t>
  </si>
  <si>
    <t>Exit Multiple</t>
  </si>
  <si>
    <t>Interest on Debt</t>
  </si>
  <si>
    <t>Equity Risk Prem.</t>
  </si>
  <si>
    <t>Beta</t>
  </si>
  <si>
    <t>Risk Free Rate</t>
  </si>
  <si>
    <t>Cost of Capital = (D/C) * Cost of Debt + (E/C) * Cost of Equity</t>
  </si>
  <si>
    <t>Cost of Capital</t>
  </si>
  <si>
    <t>D/E</t>
  </si>
  <si>
    <t>Cost of Debt = Interest Rate Paid on Debt * (1 - Tax Rate)</t>
  </si>
  <si>
    <t>Cost of Debt</t>
  </si>
  <si>
    <t>Equity %</t>
  </si>
  <si>
    <t>Cost of Equity = Risk-free Rate + Beta * Equity Risk Premium</t>
  </si>
  <si>
    <t>Cost of Equity</t>
  </si>
  <si>
    <t>Debt %</t>
  </si>
  <si>
    <t>Free Cash Flow</t>
  </si>
  <si>
    <t>Terminal Value Based on Exit Multiple</t>
  </si>
  <si>
    <t>Firm Value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</si>
  <si>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</si>
  <si>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</si>
  <si>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</si>
  <si>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</si>
  <si>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</si>
  <si>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</si>
  <si>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</si>
  <si>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</si>
  <si>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</si>
  <si>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</si>
  <si>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</si>
  <si>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</si>
  <si>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1b651f2e-f6ff-44d6-abe7-9c8ebf5f7695</t>
  </si>
  <si>
    <t>CB_Block_0</t>
  </si>
  <si>
    <t>㜸〱敤㕣㕢㙣ㅣ搵ㄹ摥ㄹ敦慣㜷搶㜶㙣攲〴㐸〸㘰敥ㄷ㐷㑢㥣㑢㠱搲㌴昸㐲㉥㤰㡢㠹㥤㔰㐴改㌲摥㍤㘳㑦戲㌳㙢㘶㘶㥤㤸愶㄰㕡ち愵ㄷ㔵搰㠷ㄶ㑡㕢㠴㉡搴扥㔴愲て〸㕡㉡戵㔲㈵慡ち慡㍥愰㑡㝤愸〴愸㙡ㅦ㕡㔵㤱晡挲〳ㄲ晤扥㌳㌳扢戳扢摥戱戳㐰㙢㉡㑦戲㝦捥㥣晢㌹晦昵晣晦㤹愴㤴㔴㉡昵〱ㅥ晥换㈷捤挴㤶愹㐵捦ㄷ㜶㝥扣㔲㉥㡢愲㙦㔵ㅣ㉦㍦敡扡挶攲㐱换昳扢㔰㈱㔳戰㔰敥㘹〵捦㝡㐸㘴ぢぢ挲昵㔰㐹㑢愵戲㔹㕤㐵㌹㍢攱㙦㈰㝡搱搹慡㌷つ㌰㍤㍥㜶㘴收〴㝡㥤昲㉢慥搸㍡㜴㍣㘸扢㝢㘴㈴㍦㤲摦戱㜳攴搶晣戶慤㐳攳搵戲㕦㜵挵㙥㐷㔴㝤搷㈸㙦ㅤ㥡慣捥㤴慤攲㕤㘲㜱扡㜲㔲㌸扢挵捣戶ㅤ㌳挶捥㕢㐶㜶敥摡㘵摥㝡敢㉤扤ㄸ㍡㜵㜸㝣㙣搲ㄵ愶昷ㄱ昵愹㜱捡㍢㈷㐴搱攲摡㠴㜰㉤㘷㌶㍦㍥㠶扦戱昹攳敤收晣搴㥣㄰㍥㠷ㄶ慥㜰㡡挲搳搱戰挷ㅥ昵扣慡㍤捦捤搳敤扤㔸㙡搱昰㝣捤ㅥㄷ攵戲㙥㐷扤㘶敤㈳搸扢戲戱搸㙢㑦〹挷戳㝣㙢挱昲ㄷ㌳昶㌴㍡㉡昵搹挷㍣㜱搴㜰㘶挵㘱挳ㄶ㥡扤慦㙡㤵搲挱㤳敡扡㉥敡㈲㍥㌱戹晣晣愸㘷㡦捦ㄹ慥㥣㤱挷㡤㐹愸扢搷㉤㌶搶扤慡㝤扦㥣扡ㅣ㠱㝤㕥搳扥ㅥ㑡㡥ㅢ㙥慤收㜰晢㥡攱攲ㅢ㘷㜰㔳晢晡戱㍤㙡㙣㜳㐳晢㌶㜲㉢ㅢ㙢㉢㍤㈱㝤换ㅤ挵㘲昴っ㐱㌷㐱㤶㠰〸搴㜳〴㍤〴扤〰㑡晡摦攰㤲㜸㐳ㄶ愹〵㐳㉤捣愸㠵愲㕡㈸愹〵愱ㄶ㑣戵㌰慢ㄶ收搴㠲愵ㄶ㑥愸㠵㤳愸ㄳ㍤搹敥㙥㌵㝣ㅥ晥㜵㘱晣攵㜷敥ㅢ㝦攵昵戹㉤慦㜷㍦㙣昷慥㐳愵扢挳㐹㑤戸挶㈹㤰㕡㥤㡡户攷户昱捦昲㕣〱愶㌰㜷㤹㌷㥢㈳㈳愵㕤摢㡣ㅤ㠶挶㘵㈵㈰扦㠱㔰〶㔰户搷扣挷㜲㑡㤵㔳ㄲ㜷㕢挶っ㑦搴㌷㙥㌸㉣ㅢ慢㔴㥤㤲㜷挹搲㠵㔳扥攱㡢捤捤㘵昵㑥㕡㥡㑤㠱慤㠴㈷挷扢慣戹搹㜱愳㕣ㄵ愳愷慤愰昸搲愶㘲㝢搲慤捣戴㉦摤敢㡡〷㙢愵㉤㌳ㅡ㠵㔰㕢㤰㝤户慣㌲㈸ち收㌵㌴㍥㔷昱㠴㈳愷㌷㙣㑦㕡挵㤳挲㥤ㄲㄴ㠹愲㈴㤷扡㤱㐵㈱搷てㅦ㜱戰㔰㜰㙢改捡㜸慥㜹挷㘹ㅦ捣㉣㑡㤸敦扣㜰晤挵㘹㘳愶㉣㉥㙣愸ㄲ㡣㠹㠲㑤つ搹㝢㉢挵慡㌷㕥㜱㝣户㔲㙥㉣ㄹ㉤㉤ㄸ㤰㌴愵㐳㤵㤲㐸愷㔳㔲㈸㐰攰㜶㜵㈹㑡敡挶昶扣㈰ㄱㄱ㐳㌱ㄹ昹攲㐶戲换ㅦ挵敡戰㡡戲㈰㑤慡㔷㉦搳ㄹ攷㉢㘵㑣〲〷挶搶㐴晤挱㐱慦㕦愶摢ㅡ收㍥摥捡慡㍡ㄸ慥晥㡥〵攱昸晢つ愷㔴ㄶ㙥愲昶㔳㌸㈳扤ㅦ㐰㍢〷㠱搰㜶昷愸敡㤴搳捡愲㜶捡㉡昹㜳㤹㌹㘱捤捥昹挸㠳㠶捣㘶戹戵㉤㡦㝥〱戲昴昵〴㠳〰戹㕣㉡戳㠱㤵㌲㌹㍣㈹㡤搲㈹㠱㤷ㅢ〴㌹摢㌵昰㜲慦戹搷㉡晢㈲㄰捡晤㈶㌰ㄲ㘸㌵㠹扥㍥㤲愸㙢ㄴ〳㠵戱挱ㅣ〷㤵ㅡ㤶攳㉦搶昹戶㠵㑢〲㈲㕡㤳〵慢㑥ㄶ㔰ㄴ㌴捡㠳〴㕥〳搱㌴㐹㠳攴捡㌱㈲㈲ㅢ㈴㘸㜶昴摣㐸㘴慣㥦㈰㈳㔰㍦㑥㠴慣扤慤扤㡣㈰戱户ㄲ㈹ㅢ戵攵挷㌵㘹戶㤴㉤ㅦ㐸戳㡤搸㌸晤㐲㠲㡢〸㉥㈶搸〴愰晣つㄲ㡥㔲づ改挶㐷扦〴敦晡ㄶ㠲㑢〱㈰㥦㜴捡㥣㔰㔴搱㠶㕡㠹ㅤ挹㝡㝤戰㤳愵㔱ㅣ㠸㈲㕡挶㌵㍢戳捦㤶㠸づ慤捥搵愱㙢搳㔲挷㕥摢㥥㌶攳换㈱㐵㈶㔴㡤慦㜵㤹慡昱㡤㘰搵づ昵搶攵㘸慡てㄱ㕣〱㄰㈸ㄶㅡ扢㉢戳收㘹㑥㝥㈲㑣愲挰㄰敡㔰戹㠷㐴㑣昳㍦㐱挰戵ㅣ㕤搶散㘷㥡㠲挳收㈷摥㝥摥摡㥥户㐳愴㌷改捣㌵㥤㐳㕦搱㜹㕡搰㔷㠲扤㤴扦戴搵㉦㔷愳㔸扦㠶攰㕡㠰㈶晤挲㤳昷昹㝡〹愴㐹㙣挷㌰户㥥ㅥㄷ㘹攱㑥㉦捥ぢ愹㝤㝡捤㘹挳㥤ㄵ㍥扣ㄷ〷㈶㘰〷㔷㕣㔷㤴㜱愰㉤挹っ㥥㕤㉥㙡捣昴昶扡ㄵ㥢昹㙢昶戱昷㠹㔰っ改戴摡㤵㙡戲㡦ㄳ散捣㤸扦㈹㐶㌹搴扦㍢摡ぢ㠹㔸愳㐶昲㘲扢攴戳攵㥡㈴改㐰㤲㕣㡦㙤搵㙦〰㠰㤴㔰晥搴㔶愲っ戳摡㔶㔹慤搱㕡愵㜷㉦攱㘴搲攴㍦㙣㤱㈳㍤㠱戳㜶っ扥〳慦捦㥥戲散㥡戰攸戱㈷㠵㕢㠴㕦挱㉡㡢㕣攰㤲愵愸㔹㤳ㄵ㥦㄰㔹搱搵搵㜲㤶㑥昰慤㐹㍡㘹㤲ㄲ㠹摣㥥㔸㤸㜰づ慦ㄳㄵ㕤㤰ㄴ㉡〹㙥愱㥡〴㈲攵戱敥㥡㠸改㐰挴攴戱㜱晡㑤〴摢〸㐶〰戴㍦㐰搲慣㜴攳ㄹち敢㕥愰㍢扢㔰㐸㘵㠹〶改ㅥ㝣戳慤戰摡挹㘱㜶ㄱ㝣ち愰挹晣愱昳㌱㠱㄰㈵捡㘳㠴㐸㙢㐹㌷㡦㕢攲ㄴ㘹㘰㥤㠹愰搲㜸搵昳㉢㌶愳㑡㝤收㐴攵㜰挵㥦戰扣㜹㐴愱〶捤㌰㜱捦㥣㜰㐰㕤㉥㙣㥦愶扣捡晣扣㈸改收㔴愵ち搱㜶㘰㘲㌵ㅣ捡戱㍥搸㤲昲㕣慥㉡㜸㍡㍢ㅢ愳ぢ㐵㥥㠸攱㙢愵㈷㜶㐵㥥㙦ㅥ晡晡敢㍢㍡㙤昹㘵搱㘳〶㑣挷㜴搶挴㉥㈲㙡㔰敡㌶愷攷㕣㈱㈶晡捣㝤慥㔵㉡㕢㡥㈰㌲㘰㘳㌲㔰㜷㔰捣㈲㐲㌰㔹㘱晣慦攲昴㤹搳慥攱㜸昳〶㠳㠹㡢敢ㅢ摥㘴㐸㐴㌳挷㉣挷挳㌰ㄲ㡢㑣昷㥢㔳㜳㤵㔳㠸搶㔶㙤㘷㥦㌱敦慤ち慣㤰攸㠳㐷愲㐶㔱ㄵ㔵㔵戲㙡戶㔳晣昰㐰㥥㑡㙤挷㉦㑤㈰㜱㤵搲攸㉦㑦搰摥戴敢挳昸っ敤㜴捥愹ㄷ㤱愳㕡㘶㔷愲ㄴ㈶愷敡户戰捤慤〰㜷敥㍢㜶愰ㅥ㤵晢㔰昱㙡㡤ㅥ晥〴ㄹ㉦挹愲ㄶ〴愱㝦㙥㕤㐰㉡捣㈳攵㠰〳㠱㜱扥㌵㤳㕦捥㤴㜵㐸㝤敢敡挹扤㠸㈲昵㥡〷㡤ㄹ㔱㐶㉣摡㌶晣㜵挱ぢ捤㔸摢㈸㝢㘱搹㜸挵戶つ㤲ㄶ挹㜲慡㘸㤰㠲㐷慢㝥攵㤰攵攸㈶㠰愴扦㌰换㌸㡤㉣攳戴捣敡㌵㡦㌲㉣㈸搳散慢㌲㙢戸㤶㍦㘷㕢挵㉣㕦ㄸ扡㕢ㄵ㌴〹㈶愷攴㡤㥥㐸㘶っ㌵㔹昳挷㘰戲㜹㜹愰㍢て㌹捡慤㈳晡㐱戹慡㤲挱ㅦ愵㐳挷ㄲ〴㡣昴㤲敡户愱㌷㑤摥㡣㠰挸㤱捦戹攸晥挵戹㐷㤰ㄳ昸攵㠸昵〴ㄲ㠱㐷㌰㈶攴改摥捥㤸挷ㅣ换〷昶㠸戱扤㤶㍦攱〱攵〰㐸捡攳敤㘶㠹搵㔸愳攱㥡㔶戸扣戵愸㐱㑤㕣搶㕡ㅥ搷ㅢ㔷㉦㔱ㅣ㘸㤴㤸㈲㔹慥㤲搴㉣㑢捣㜱㌵愹ㅡ㐵㉡敥㐸摢㈸㐹㙥搳晡扥㔳㡡㝣〸挵㈴㘹㈶愵敦㤶㠴㠲㈰㉦愹〳㍡㡡晥晡㘴昲㠸㐵㙢㘸〳攴愸愷㠲扣扥㌰ㅣ㜸〰㔷㑥㑡㈲ㄷ扥㠱扦搷㠵挹㈳㔵扦愱挴㌸㍤ㄸ㤶㡣㤶换㐷ㅣ㔸〹㐵挳㉤慤ㄲ㤶挶摡〲つ㈳戹戳㔳敤ㅦ㙣㙦㡣ㄱ㐳㌶㘴㐸㈴挱てっ㌶〴㜳挵愲愹戴捥晡戸搵戵散㉣摦づ〹挳㤱ㄸ㤸昲㑢ㄳ㘲㐱㥡㘱㜵㑢㝥㔰㌶愸㥤ㄶ愵ㅣ搵捤搱ㄹて㉡摤愷ㅣて㔳㤲挱㜵昳㈸摤㔲戸挰〰戱ㅢ愶㈶㡢㍥挲扡戵づ㜸㌲㔸㍤搸挱㡥〴㘱ㄳ㕡㘷㤴愰㤹〴挲㙤㕣〴㜹愷㐳㡣㐲㤰㥡昲昹搷ㅥ攵搹㘷昸晣㜴㑦㉡㑡㠴㑣挴㔰㔷㠲昵〰攴挶愳㤲攴愲挱㈸㔸ㅥ㐸㌶㈹戴㝡愳㍣㥡ㄸ㝤㌴昹㕣ㅦ㌷㜸ㄸ挷敡㈷摢㤴㜱挷捤户愰㑤换㡢敢捣〳㑥戱㕣㉤〹愹㡡㈳㔹㉤㌵昲慡挰㤷扣晥ㄷ㜰㔳挲扥㠴㥢㜲〰㐷㈹㉥㤹㐸敡摣敥搶㍦㡢收㔲挸愱㡦㐰戶㌱昸㤸攰㤶㤳挱戰㤶㍢ち戴て搷搷㉦㉦挸㡢㜳㄰㘹㉤㔹㤴㘵〷㜱ㄷ慦ㄶ㐱㤶摣ㄶ慢㜶戰㜲戰㐲㥢㍤㤶戵摦ち戲㔶〵㡥戰捥㐰攰㘵㌲㌰㐶㍡攴づ㜶㤲㍡ㄷ㐶㜶捦㍤㈲㕦㔳攷昶㠴挶㠷挲昸㉥㑦㐱㈹散㉡ㄸ㠹〶户㕡户扡ㄵ㐶㝥㘹㜹敢户〳㈸っ〱搳愰㐵捤挰挰ㄹ㐳㝡㜹〳㠷挱挸㠴攸㘸㍣㤰捡ㄸ攵㈰ㅣ昶㐰ㅡ戸㠹〷改改ち㤴㤰扦㐱㕥ち㡢敥㈵づ摢㌸〲㔵摣ぢ㥢㌲㈷つㅦ㔷㕦㥣㑤㑤搹愳愵ㄲ捤㕤昸攷㔶〵㔶㜱㙤㈳㌰㐷㌷㌴㕤挸㤲㙢愲㝤㜷㔵㔳㐱㜸㔱㜰晢㐴㝥扦攱ㄷ攷愶晣挵攰搲㔶愷㈴愱晤ち晥㠸㈵㐷愷捤㥣㜶㜸〹㜵㠱㝢㥦㍢改㔴㑥㌹㜲㕥㥡挷ㅢ㝦戴㘲昵敥㙥㑥㌲㤷晡〰㝦攴愳愶戴搷搰攳㑡愶捤づ敡づㄲ昶㈳㥦㐰ㅡっ㈱㥤㐰㈷戰摤㙢㌷〶㐸㈷ㅢ㥡攸㐴ち㠲㌵㐲㜱㘶㍦㌲㐲㔱㝥〹戴㤲㔸㠲㈳㌹昶晣㐵戰扥昲ぢ攴㄰攱㜸て挵㠸㜶〵㔲〹愸㤳㠲㍣扣摥挱换㈰晦㍦㔸㡡戸㜹㐹㜶晡㉦㌰戳昲㙡㌳㡡㉥㈳㡡㕥㘹㐵ㄱ〳戱攷ㄵ昲收散搷㡥㥡ㅦ晢戵摥晦攱㔱昳㑥㘰㤸㡦戴挶㄰㔴㘳㌰扥㘶っ㜴戵ㄸ〳搷愰㔸ㅡ〳㜷戱つ攳昵㠱㌱㄰㝡㍢づ㈱㘳㜹㘳㠰㔱扣〴㤳㉦ㄶ㔴㡤㌹㌰㜸搶扡搰愶㈷㙣㍦慥搷ちて㤱㝢愸㈷㙦ㅣ扥愷㡢㕡戳㈷つ搷戰㌷挹晣㝤慥㠰摡㜲愷㜱㕦㕢㌶㘱㡢捤㑢㤶挸㐶㑢㜸㈵㈲㝦晡㥡攷㘴㘵户搴㠱愹攰〹ㅣ昵㑡㔶挹㝣〸㥦㠸挲ㄳ㐲敡㡢ㅢ㝥戶敦㥤㠷ㅥ摢挳㝢㘹㈱慤㙡っ〴㜷ㄲ㥣愷攵㠰昰㙤散㑡挸㐶㝥㝥㜳〸ㅦ㈲㔹昳㘵㌱㘶戸搲摥昱㜴㍢㑡〶㠴ㄷ㈳捣㠰昸㔶㠳㌱㠹ㅢづ㠱㌱㤹㙦㜲㙣捡捦㤷愴㌳㌰ㅦ㥢戸昴摥㐵〱㐲愵慤捡敡搰慥搴㝥づ愵㜳㥥ㄳ㘹戴〷㜹扥攴愳㈸㉦㌵㙢戵㕤搴㙡搲㑣㔴㠶㔱㈳㤲㔲㠸㌴㤰㐲攲㐷ㄶ㠶晥愵㤴㥡㐴㐲换〳㈴挴搰㥡㠳戹㍣昹慦〹〱㔱扢摥搷攱愷㉡搸㐵㘰㌱昲扡㜷㝡㜶愵搵ㄹ愹㈶〶㘵攵改攳㙥㈴攴㌱㠵ㄹ㡣搲捡摣愳㐸㐴㡦㌶㠲搴㡡ㅤ㑦ㅣ愴捦づ㐲㙣〱㘳㙢㌶扤㙡㌹晢づ愷㡡㍢ㅥ搰㌳ㄹ愹㌰㥣昵捣挶搱㔳㐶攳㠲慡戹㈰㡢戰㍦㐸搶ㅡ昵㠴㐵搰㔹捥㈶㥣㍦ㄱ收攳昷㐰㉣ㅦ慥㜷扤戱戹㠴㍡捥改挶〲昹㠳晤㜵㔹〲㘳㘳㔴㜲っ㈴散㡡㙡㘵㠳㑢攰㔳㘸㈲敤㜹㐵慦㈷㌹㤶愲㌰ㅡㅤ㜱㔶㤷摡愲晦ㄹ愷㤶㥣㌵捤摡っ㔸㌷攸晦攳挸㔸㔶晦㉢㡣戲㐹㤴摤ㄳ㈶昸愲㌱㔲戲㙣㜰㠶㍢〲ㅦ㌶挲㌴昲〸慣换㈴㠳摢㐱㙡ち㥦愸〶挵㔲㠲挳挳㤵㙥扥〴㔱㙢㑢摢戶愷慤〰㘴ㄴ㐸晢〹㐴㔰摢昶㥣㜴敢㌹㌶㜳㉦戲㌷ㅣ戲㡡㙥挵慢㤸晥搰ㄴ挲扢㐳晣挲捣㠴捤㌳慡扣搸㉣搴慥挲㑥昴摥㠷㌶㠷㡦㐰㘰ㅦㄶ晥㐷ㄵ㜵㘴っ㘱㘵㌱ぢ㝥㙤㌴㄰ぢ㈴㔱㍢㜸ㄷ㤸㜷㔷㡤㌲㍥㔰㍤〲慦愶捦慣㔵愱散〲摦㜲昳㕤っ㙥ㅤ㙥㘳摤〵捦㡦㈸攷ㄱ〶㤳㑢戸敦㝥敥㙢昳ㅥ㌴搶つ搷收戱㘶㘷摥戵㥣昶㘳攰㜴㘵愳㌴㤲っ挷攴㜷挷㌹晤㝥㐲挴㜹攸ㅤ㕤戹㉢㤶扤つ㠲捥挳捦戶改昲ㅡ㉥挳㔱戶㠲㌸昷ㄷ搰㔴戹㥤〰㍦扤㄰㈶昸愲搰㥦㜷ㅢㄳ捦㘳㔹㘴〰愴㔳ㄹ〳愰㍤㔵晦㜰㈹慡㔶㜸戴㈰ㄵ收㤴ㅦ愰㥣扢ㄴ慣戶挴㍣ㅣ㌵攴ㄱ〲㘹㕤〰㐴㡦挲㈳㠴ㅣ晦㔹㌴愸㡤㍦㡢摣昶攳㝦㙦挹昱愹晣攵晡攲晤て㐴捡㐳㍦㠱㘲晤㈴㐱㤹挰〶ㄸ㠸㜴㐸㍦挵㈲㘵㑤㈶〸㈲扣扡〷㘹㍣㝦っ晦㝤㝢捦㥢㙦昰昹攷ㅥ㐵ち㐲ㄴ㌵慥㠲㠲㔰慥攲愹昸㉡收㤱摢㝥ㄵ摦㕥㙡ㄵ〳㤴㤱㥣㠹敥〲昴㜵㈹愴ㄵ戹㉡て〹㙥㈸㝦㡡㐴㈸ㄲつ戳ㄸ㈰㘲㘵摢㉡ㄲ㘸换㥤㤷㙤ㄷ㤰㠸摡づ㐴摢愳㜱㐷ㄲ扥攵㤱㠶ㄲ敦㍥搲㝤㤳〹晣慦㤹㐰㍤㘶敤搰昱扡㉡㠴〴搶挶㡦㘳摢捡昶㑣㠷㐱㝤攵挹〸㐳晢昷㐷ㅦ㑡愹㘱㤸〹ㄴㄲ㤸愶愴㈸㙥愴昲戵愸昲㑢㉦搷扤愴㈸挰〳㌲ち㉡㤳昲㘴攵㈷愲捡摢昱ㄱ㤶慣㤳攲愵〱㍥㙦㐷㤵㐹愱戲昲攳㔱攵㝦㙣摦㔴慢ㅣㄱ㘴搰戳㐶㙡㐹㌰㝡攵㌱㈰昶㐱㌶㑦搷㥡㐹㐵摡㘳〶搹ㄴ愱㌲㕡㕣㤶慡戴ㄷ昷㍦㕣㝣ㄲ㝤㄰搷㤹㜰敢〳搲㌶昸㥦ㄱづ攰㥡搳㠴攱ㅢ昸攲㜹〱昱㘵㔷㤷㙦㙣㥣㌱㡦戸挸攸㌶て㜸㌸㕣㤵㔶ㄵ㠹挰㉥㐸〷晢扢㡣ㅦ㍥挱㠶慣敦㐷ㄴㄷ㔳㜹㙤愴㌳㉤㈲㘳㈹㘹攵戱〸戳愹戳㜵㥡搱扦〴攴㐰㕥〲㌲愱㍦っㄸ挴㕥㌶㌰㘳㠰㠲㐰㜲昹㔹㈴昴㐷〹扥っ㤰㔳挸昵愴㠳捣㔷〰晡愳晦㤷㘲㘸㐱㍡㑥㔴攵㑣㌴㔸㥣㡣昴慦戲挱攳〰㕤昰搸㉡㈱ㄱ收昴㈷㤰ㄳㅦ㤴ㄲ㐴づ晡㈴ぢ扥㑥昰つ㠰㥣挶挹慥㜸搷戸愶づ㔵搸㌷搱㔴攱㔶㐸㠱昶慤㌰挱ㄷ敤㉣挰㙤敤㡤㘶㥥㠹愳敦昸ㄱ摤㙣昸㘰晦づ㝣㠰扦挸㐵㜷攱晦ㅦ搱愴㠵㥦㔶㍦摤㔹㕦㘴〲㡤昳攱捦挵㘶㝦㠸㝥戸慥扡戱挹ㅥ㍦㠳㕦㔶捤㈸㡦攲摦戳昸㈹て㘲〴㡥㐲㤵㥢㠵扦㠵㌴㈰ぢ收挳〲敡㉥晤㈹〰㠵㌸㈶㥥昴愷昹㐶搴戲㝦晤㍢㘱㠲㉦ち昱㝡㤶㠹㜲搸㍣ㅡ㤰戸㤶〵㈷㥢〶㈴晥㘵挱㠹昸㠰摦㐵慥㈲㤱㠵㐴愳㝡㈲搲搲捣㝤〶愰慦慢㥦㜳愳扡㔳㑦㉢挵〷㑡て㍣昰㕥㝦㝡㘸㜳晡㜳户昷㍥昳昶敦摦㝤晡慤捦敦晥晢晢捦㍤昷搶㕦㥦㝥攳晤搷㘶㜶扦晥挲ぢ扦扤昳㐷㙦扣扢摥㝣㕥㝤昹扤㠳捦㥦ㄹ㌹㜹收㐱昳搸㡤晢捥摣㝢攲敥㤱挹ぢ㠶扢扡扡扢慦ㅢ晣摤挵搷て㥣㝤昰ㄵ攵㌷㝦扥挸㔱攴㜲㌹愰〰㠸㥥〱㉥㕢㑥攳晢㐸㘰ㅡ㥣昱挷㍡つ㉥昷㉣㝥㑡㈹摣愸㌱扣㘴攱摣攰〴㘴㐱戱戱愰攷㍦换摢戳て</t>
  </si>
  <si>
    <t>Decisioneering:7.0.0.0</t>
  </si>
  <si>
    <t>af325b65-6bba-417e-a978-1ba74d19971a</t>
  </si>
  <si>
    <t>CB_Block_7.0.0.0:1</t>
  </si>
  <si>
    <t>CB_Block_11.1.1000.0:1</t>
  </si>
  <si>
    <t>Decisioneering:11.1.1000.0</t>
  </si>
  <si>
    <t>㜸〱慤ㄸ㑢㙣ㅢ挷㜵㤷摦㈵㐵㐹㤴㘵㉢㜶慣㈲㐴㈱㍢戵㉤戱㕣㝥㈴搲㠱敢昲㈳㑢戴㑤晤㈸挷愷㘶㍣摣ㅤ㡡愴㤷扢捡敥㔲㤵敡愰㜵㝢㉡㔰㈰㈸摡㑢敡戴㑥㤱㝢て㡥㔴㈰改愱戹戴㐱㕤搸㜵㍦㉥搰〴㐸搳㐳㠰戶㘹㠱〶攸ㄷ攸㈱㝤㙦挹攵挷㘲ㄹ㈸挹㐸㍢扢昳收晤攷捤㥢㌷攴㜸㡥攳㍥㠰㠶㙦㙣㉥晣㤸㉣敥ㄸ㈶慢㠷戳㥡愲㌰挹慣㙡慡ㄱ㑥敢㍡摤戹㕣㌵㑣㈷㈰㜸㐸ㄵ收つ㌷㌱慡㕦㘲〲搹㘲扡〱㐸㙥㡥ㄳ〴㥦〳收㤱〹㍥㐱㝢攰㐳慡㠰ぢ扡昵㙣㘶戹㔴〳慥㐵㔳搳搹㜴攸改㈶敤㌹㔱っ㡢攱㔸㕣㑣㠵㈳搳愱㙣㐳㌱ㅢ㍡㍢愷戲㠶愹㔳㘵㍡戴搲㈸㈹㔵改ㄲ摢㔹搷慥㌳昵ㅣ㉢㐵㘲㈵ㅡ㑦㡡昱㐴愲㥣㑡㈵〳㈰㥡㕢捡㘶㔶㜴㔶㌶㍥㈱㥥㙥㔴㌹㤱㘳㔲ㄵ㙤㘳㑣慦慡ㅢ攱㙣〶晥扢昴て㠳㐴戹㉡㠱㈹攱攵㈲㝥ㄷ㉢㡣㤹㐳㐰㌹㐴慣㑦㑢愳ㄱ㌲扦㉤㌱㈵换ㄴ㘵つㄴ㍣㐴挰戱㡤扡扡慣㔷㤹㙡㔲昴慦㡦㔴愸㤱愳㈶㌳㠶昰㙢㤱㔱ㄹ晣㌲㑥㉣㈷挹㑤昴㈲愸挰㡣㘰ぢ戶愶㝤戱〹攸㐵㥡摦〲㤶摤㐸㑤挰㜰晤㡡挱搶愸扡挱㤶㘸㥤戹敢ぢ㡤慡散挲攵㜰㍡ㅣづ捥㌹搳捦㑣㑢昵㡥㠱ㅤ㜳搰搹㘲㍦㡡㙥挷㘴㌳㜳攱ㅥ慢㔱ㅡ捦昳晤㘲㙢㤱ㅡㄵ㤳㤶ㄴ挶て戵㈲捦搲て〸㝣ㅥ散扣㐸捡昱㍥〱摥㝥扦㥦㜷晤ㅢ㈲戶ㅢㄵㅤ敥㈰搴㐱㑡づ㈲㌹㠸散㈰捣㐱捡づ戲攱㈰ㄵ〷愹㍡㐸捤㐱慥〳㡥摤〴慦ㄷ散戶摡敢㈷㝦晡晣㤷愷摥㑣㝦敦散换㕦ㄵ摦ㄹ㝢㉦攰〷愴㤵㙣㘶㤱㈹㥢戰〴㥦㔴㌰愱ㅤ〷昳㜲〸㈸づ㤱㌵戶愱㌳〳㈳戰挰捣㡡㈶㐳㝣慣㐰ㅣ㘸昲晡捥㈶ぢ㤰㈲愳㠶愶㔲愵㙡敥㡣㤰㈶㐶戱㤰㑥㌷㑣㙤慣㌳㙣ㄲㄸ㌶㐲慥ㄷ〱㠶㡦㈰ㄴ攷㡢挸㘱搴收〰㐳㘵戳㐲摢昴扤搳戹晤搳ㄹ㘶搲㘱㥢摡搲挶愶㉤愶㝢㔸ㄵ搳ぢ戴㕥㙦㜳㕥扣㙡㈱摢㠲㜱搸㉤ㄸ挶挸戹㙢摡愲㙥㑢㉡愰搶㙤㐹㠵ㅥ摡㘲攱ㄱ㐹ㄶ㜲㠷㔵㉦昶攲搵㐲慦愴㈶昵㈸㐱〹㜵搸戱㔲㝡㉤㕦㐸ㅦ挱㉤挲㜴愶㑡捣㌸戳慣㘶㉢戸挱攴㑦㜷㐳换昳摢㈶㔳㘵㈶慦攸ㅡ挴㤳戹戳㡥㜱㍥搱㠳㤲㠶ㄴ扢挵㘰攲㔸て昸㠲㈶㌵㡣慣愶㥡扡愶昴捥愴攵㉤ち㌲攵㠲㈶㌳捥摡挶㄰㉢晢㥢搳挹挳慥㌹摤㙦愷戶愲㍢摣㠹愵㜹戵㔱挷搰㍦㌳〸扤㉢摣㌰晥㄰㥦ㄷ攰捦挳㝢㕡晦敤搷㜸㙢㈷㕢昹㘷㤱慡戲挲昴㝥㝢扦㝤慥昰㤸㔶㌸昷㍦㘱㙢ㅦ㐰㘵㍣㘵扣㕢㔴㘹㌰㐲㌸〱ㄵ挲收晥〷㜰㌹㠸㈵晤搹㠰晢挰㐰敢っ扢昵ㅤ㙣慦㥤攷敤て晢晤攱㠰㡦㠰改昷つ㠳㘴扦㥦㜳㘳敡㍢㜸慥㐵㤵㝤㔶㤲㠷㈳搳㜰搷㉦㘸扡攱㜴昶㜳㝦㍢昵づ㥣挴摣敤ㅢ挱㙥ㄴ㍡ㄷ收攱㠱昸愸戵晦戲㐶攵ぢㄴ捦㐶㙦敢㤰ㄷ戲㕡㝤㤳敡㑣て愲搸㉣㐴㉦散㡡慤㉡ㅣ㜵〲〲㡡㔰㑣戸㔰㘱捦搳戸愰〶㥣㑥㑥捥敤ㅥㄲ晡挹捡摢扣愶晡ㄴ㉢昹㝤晣晦扡㥡㍣㡦〷扡摦㡦扡昹㠲搸㡤㐱挷愳愳㜱㤹㝤㠷㕡ㅦ搶㥡愳慤㘸㈵㤲㈱挰敦㐷㘲摦㌸㜶㠷愱攳搱て㝤㄰㡥㈰挲〴㜴㐱㤴㠰㌴㠲㠰㡢㈱〸挸㐵㐰ち㉥㠸㜲㉤㜶㡦挱㠷敦㈸㜶挷㄰㡥ㅡ㔸㥥㝥ㅣ㍥㠶㥤㐱㤴㠶㘴㥥攳搰㥤挸㘶戲㙢㈴㈹㈶㘸㌲㔲ㄲ挵㐴愲ㄴ㥦㡤挹愵ㄴ㡢捣挵攷挴戲㔴㉡搳㔴㌹ㄶ戴㤴〳㜴摦㈴㜴㐱㔴〷㌹昸㍥㠵㈳搴换ㅡ攱㥣ㅢ㠵㥦ㅣ扣搹戱摥挸㐳愱㠷㙣㐶挹挲㤵㝣づ捥㈳㐹㠳㜲㡦挹㙥㙢っ㠵㈰㈴户㙤㌷㔱愱慣昰ㄲ㔵㠳ㅡ㠶〶㉣攰㈶愶㍤搵ㄴ〸摢㤶㤴㠶捣㕣㐴愱ㅢ㈳㐴搶㤶㌴ㄳ攲㤱㐹搴㌰㝢づ戰㈱㤲㌷散〴㌳摡㍥搹㥡ㄹ㙡㠴㕣〶昴ㄵ㐶慦攷㔱摥㘳敤改〲㔵ㅢ㔴㔹〶㤵㜴㠸愳㌱㤲㤶㙢つ㐴搴㈵㤰㕤㔵搸㜸㉦挴ち慣挳㉤㤸慤㠵〵っ戴㠰㙢㕡㐳㤵㙤㍥搶挰㥡㍥㘴㑦㌳挳搴愱攰㉢㔴搵㝤㈰扡つ敥㐵〷㌷㤷ㄱ搷搲㉡㝡〴㈸㝢〴晥㈰改愸㤹㔸〵㍥㌲㘸㝤ㅥ㌵搵捥挸ㅥ捦㐰㔱㑤㌲换㌲㥢㐲昰㜸慣捣改㜹〲㔴て挹慣㌴ㄷ㘵㌲㑤挶㤳㈵愸挷挵搴㙣㕣㤴㈴㕡㑥捣挹㈲㡢㐹〹戴捦ㄳ㠲㑥㘸ㄶ愰㈱戱㘵㌴挷扦〳㘹ㄷ㔳㉦愲㔸つ扥㍦攰摣扦㠷晥挰愶愰㈳昷㘷昶㈶摢㍦㥣㙦扥㈱㡣摦〶摥〷戱㜷㄰㕢㘴晡㝥㑢昹昷扦挲攳捥挴㕤挲㜹愶愰ぢ戱㜲㌴㤵㑣捣挲挶㉢挷㘰换㈵㑢搱愸挴㤲ㄲㄵ㘵搸㡣㤱搸ㅣ㜲昶㥣㠰捥扤〲ㄱ挲摡㑥㜹ぢ㌴摣敦ㄴ晥㑤〰愳㘳㠰愰搵㍡㔶昱扦㠳〹戴捣㥥㙡扥扢㜴挳㠴搱搴敤ㄴ㝣㠵搸㙣㌹㥥愰㘲㤲搱㐸㍣㥥㤴挵㘴㈴㉥㤷愲㜲㌴㕡㑡搱㠸㥣㠸㘲づ昲㥣挶㉥挷㐲㑢敢㤹戶㜲扦〵㈱㝤㤴㝢〸攰晦慢摣㙦㍥㐴㌹㌷收慦愷晡㠵㉥搶㌷〶㕥㈹摡㔵搳愳攵搱㍣㤴㍢㍢愸慤ㄳづ〲户戵昵㕣㡥戳ㅦ㡤ㄷ㠶㌷ㄶㄵ搶昳㙢㔰晡㘳昰改つㅢ攴㤸㠷挷昷㔹㘴㡦改戴㙦㜸て扡て攱㠵攰㐸㍤㙦挰㠵㄰慥ㄹ敢㕡扡㝤㍢ㅢ戳慣〶昸ㄹ晢〴㍦搱㠱愴㑢〶摣ㅤ㑤㘶㤳㉤敢㙤扡攱づㄶ㘴戶㈳㥤ㄱ搶㤰㙣摢挴搴㝣扣〳捤慢〶搴愳㑣戶㌹ㅡ㜰㍢㜳㌹㥣晣攷晡㌹扢摢ㄲ㔸扥晤㔷摥㌳昶攵ㄶ㌳摥昱㍥㐷㜲愶㙡㕡愵㥥㤵ㄱ㝤㜸愲㜹㐴攸〲攷愶搲㔳㘲昴散㔴㜶㉡㍡攷晥〵㉣搲挷㤴摦扢㔰㈸つ㥢摦ㄷ㠳㥥挷㘳㄰㘵㈰㘸ㄴ搷敥㍤㜸ㅣ摢扣㜴㑤扥㜶敤㍦愳慥搰攳慥敤ㄷ㙥收㙥敥㝥㝢愱戶㤴慥慤摥㜹㍥㜳昴㥢昷敥㍤搸㑤挴ㅦ挶ㅥ挶㘶挵扤㠷戱㕦慥㙥㠶敦㥦㍡㌵㜳昱㠷昷㉦捤捣㥣扡㜸敦㔷慢挲㘷ち㍦扦㝢昹㕦㑢㍦〸摣㝤戰㜴㝦户㔰㠸㐶㤶㉥挶敦㐴攲㘲愲戰扢户㜷㡤㍦昶晡㑤昱搵㔷㕥㥤㑡㕣㝤㤰㍡晦攴㤳㠹搷㕣㤵摡㥤摢㌷㙡捦搴㔶换慦摣㕥㉥㍦㥢晦ㅡ㌵昷㉥搵昴㤳㍦晢昱晡昷㉢捦晣攸昶敥㜸㌰晤昶换㝦㝣㘲昲㙦㐷摦晤昳㕦晥昴攲㑢摦昲敦㡤㠷搳㈷ㄶ摥㜸㈳敡晣挲摤㠹㤷㝣愶㈴㕥㝦敥搹昲㤵搳ぢ捦ㅤ晢挹㝦愷〳㠱户㜲㑦捤㥣㥤㌸晣昵挹挹敦㠶晥晥㜹敥摤ㅢ㕢ㄱ敦挴扤改㕢戹ㄷ㍤搱㙦ㅣ攷㙥ㄵ㙦㜸㕤攸㠵㐱慢㠳㘵㠹户㑥㈸晥搸㈳搴㠹挲搴つ戳搲晥㠱〷㑡㈷〱㝥攱㠹〳㤲敤搸㔱ㅣ愰捦慤搲㘶攸㝦㠵㠲㤵㡢</t>
  </si>
  <si>
    <t>㜸〱敤㕣㕢㡣㈴㔵ㄹ敥慡改敡改敡㤹搹ㄹ㜶昶挲㜲ㅤ敥㤷搹㌴㍢换慥㠰戸㉥㜳搹ㅢ散㘵㜶㘷㜶㤱㈰㌶㌵摤愷㘶㙡户慢㝡愸慡㥥摤㐱搴㐵ㄱ挴㑢っㄸ愳㈰㉡㈱㠶攸ぢ〹㍥㄰㔰㝣搰㐸㌴〶㡣て㘸攲㠳〹ㄲ愳てㅡ戲㠹㉦㍣㤰攰昷㥤慡敡慥敥㥥慥ㄹㅡ搰挱㑣敤昶扦愷捥晤㥣晦㝡晥晦搴愶㤴㔴㉡昵㉥ㅥ晥换㈷捤挴㐵㔳㡢㥥㉦散晣㜸愵㕣ㄶ㐵摦慡㌸㕥㝥搴㜵㡤挵㠳㤶攷㜷愱㐲愶㘰愱摣搳ち㥥㜵扦挸ㄶㄶ㠴敢愱㤲㤶㑡㘵戳扡㡡㜲㜶挲摦㐰昴愲戳㔵㙦ㅡ㘰㝡㝣散挸捣㐹昴㍡攵㔷㕣戱㜵攸㐴搰㜶搷挸㐸㝥㈴㝦攳㡥㤱㕢昲摢戶づ㡤㔷换㝥搵ㄵ扢ㅣ㔱昵㕤愳扣㜵㘸戲㍡㔳戶㡡㜷㠸挵改捡㈹攱散ㄲ㌳摢㙥㥣㌱㜶摣㍣戲㘳攷㑥昳㤶㕢㙥敥挵搰愹挳攳㘳㤳慥㌰扤て愸㑦㡤㔳摥㌱㈱㡡ㄶ搷㈶㠴㙢㌹戳昹昱㌱晣㡤捤ㅦ㙦㌷攵愷收㠴昰㌹戴㜰㠵㔳ㄴ㥥㡥㠶㍤昶愸攷㔵敤㜹㙥㥥㙥敦挵㔲㡢㠶攷㙢昶戸㈸㤷㜵㍢敡㌵㙢ㅦ挱摥㤵㡤挵㕥㝢㑡㌸㥥攵㕢ぢ㤶扦㤸戱愷搱㔱愹捦㍥敥㠹㘳㠶㌳㉢づㅢ戶搰散㝤㔵慢㤴づ㥥㔴搷㌵㔱ㄷ昱㠹挹攵攷㐷㍤㝢㝣捥㜰攵㡣㍣㙥㑣㐲摤扤㙥戱戱敥ㄵ敤晢攵搴攵〸散昳慡昶昵㔰㜲挲㜰㙢㌵㠷摢搷っㄷ摦㌸㠳ㅢ摡搷㡦敤㔱㘳㥢敢摡户㤱㕢搹㔸㕢改〹改㕢敥㈸ㄶ愳㘷〸扡〹戲〴㐴愰㥥㈳攸㈱攸〵㔰搲晦〶㤷挴ㅢ戲㐸㉤ㄸ㙡㘱㐶㉤ㄴ搵㐲㐹㉤〸戵㘰慡㠵㔹戵㌰愷ㄶ㉣戵㜰㔲㉤㥣㐲㥤攸挹㜶㜷慢攱㌳㜱敡㤵㐷晥昸捡户敦㜸㜰攳㜳㥢慦昸搵散㕢扤敢㔰改㘸㌸愹〹搷㌸つ㔲慢㔳昱昶晣㌶晥㔹㥥㉢挰ㄴ收㑥昳㈶㜳㘴愴戴㜳㥢㜱愳愱㜱㔹〹挸㙦㈰㤴〱搴敤㌵敦戴㥣㔲攵戴挴摤㐵㘳㠶㈷敡ㅢ㌷ㅣ㤶㡤㔵慡㑥挹扢㜰改挲㈹摦昰挵〵捤㘵昵㑥㕡㥡㑤㠱慤㠴㈷挷扢愴戹搹〹愳㕣ㄵ愳㘷慣愰昸攲愶㘲㝢搲慤捣戴㉦摤敢㡡晢㙡愵㉤㌳ㅡ㠵㔰㕢㤰㝤户慣㌲㈸ち收㌵㌴㍥㔷昱㠴㈳愷㌷㙣㑦㕡挵㔳挲㥤ㄲㄴ㠹愲㈴㤷扡㤱㐵㈱搷てㅦ㜱戰㔰㜰㙢改昲㜸慥戹攷㡣て㘶ㄶ㈵捣㜷㕥戸晥攲戴㌱㔳ㄶ㥢ㅡ慡〴㘳愲㘰㑢㐳昶摥㑡戱敡㡤㔷ㅣ摦慤㤴ㅢ㑢㐶㑢ぢ〶㈴㑤改㔰愵㈴搲改㤴ㄴち㄰戸㕤㕤㡡㤲扡扥㍤㉦㐸㐴挴㔰㑣㐶㍥扦㤱散昲挷戰㍡慣愲㉣㐸㤳敡㤵换㜴挶昹㑡ㄹ㤳挰㠱戱㌵㔱㝦㜰搰㙢㤷改戶㠶戹て户戲慡づ㠶慢摦戳㈰ㅣ㝦扦攱㤴捡挲㑤搴㝥ち㘷愴昷〳㘸攷㈰㄰摡敥ㅥ㔵㥤㜲㐶㔹搴㑥㕢㈵㝦㉥㌳㈷慣搹㌹ㅦ㜹搰㤰搹㉣户戶攵搱捦㐳㤶扥㥥㘰㄰㈰㤷㑢㘵㌶戰㔲㈶㠷㈷愵㔱㍡㈵昰㜲㠳㈰㘷扢〶㕥敥㌵昷㕡㘵㕦〴㐲戹摦〴㐶〲慤㈶搱搷㐷ㄲ㜵㡤㘲愰㌰㌶㤸攳愰㔲挳㜲晣挵㍡摦戶㜰㐹㐰㐴㙢戲㘰搵挹〲㡡㠲㐶㜹㤰挰㙢㈰㥡㈶㘹㤰㕣㌹㐶㐴㘴㠳〴捤㡥㥥ㅢ㠹㡣昵ㄳ㘴〴敡挷㠹㤰戵户戵㤷ㄱ㈴昶㔶㈲㘵愳戶晣戸㈶捤㤶戲攵〳㘹戶ㄱㅢ愷㙦㈲搸㑣㜰㍥挱ㄶ〰攵敦㤰㜰㤴㜲㐸㌷㍥晡㠵㜸搷㉦㈲戸ㄸ〰昲㐹愷捣〹㐵ㄵ㙤愸㤵搸㤱慣搷〷㍢㔹ㅡ挵㠱㈸愲㘵㕣戳㌳晢㙣㠹攸搰敡㕣ㅤ扡㌶㉤㜵散搵敤㘹㌳扥ㅣ㔲㘴㐲搵昸㕡㤷愹ㅡ摦〸㔶敤㔰㙦㕤㡡愶晡㄰挱㘵〰㠱㘲愱戱扢㌲㙢㥥收攴㐷挲㈴ちっ愱づ㤵㝢㐸挴㌴晦ㄳ〴㕣换搱㘵捤㝥愶㈹㌸㙣㝥攴敤攷慤敤㜹㍢㐴㝡㤳捥㕣搳㌹昴ㄵ扤㐷ぢ晡㜲戰㤷昲㤷戶晡攵㑡ㄴ敢㔷ㄱ㕣つ搰愴㕦㜸昲㝥慦㕥〲㘹ㄲ摢㌱捣慤愷挷㐵㕡戸搳㡢昳㐲㙡㥦㕥㜳摡㜰㘷㠵て敦挵㠱〹搸挱ㄵ搷ㄵ㘵ㅣ㘸㑢㌲㠳㘷㤷捤㡤㤹摥㕥户㘲㌳㝦捤㍥昶㍥ㄲ㡡㈱㥤㔶扢㔲㑤昶㜱㠲㥤ㄹ昳㌷挵㈸㠷晡昷挶昶㐲㈲搶愸㤱扣搸㉥昹㙣戹㈶㐹㍡㤰㈴搷㘲㕢昵敢〰㈰㈵㤴㍦戵㤵㈸挳慣戶㔵㔶㙢戴㔶改摤㑢㌸㤹㌴昹て㕢攴㐸㑦攰慣ㅤ㠳敦挰敢戳愷㉣扢㈶㉣㝡散㐹攱ㄶ攱㔷戰捡㈲ㄷ戸㘴㈹㙡搶㘴挵㐷㐴㔶㜴㜵戵㥣愵ㄳ㝣㙢㤲㑥㥡愴㐴㈲户㈷ㄶ㈶㥣挳敢㐴㐵ㄷ㈴㠵㑡㠲㕢愸㈶㠱㐸㜹慣扢㈶㘲㍡㄰㌱㜹㙣㥣㝥〳挱㌶㠲ㄱ〰敤昷㤰㌴㉢摤㜸㠶挲扡ㄷ攸捥㉥ㄴ㔲㔹愲㐱扡〷㕦㙢㉢慣㜶㜰㤸㥤〴ㅦ〳㘸㌲㝦攸㝣㑣㈰㐴㠹昲ㄸ㈱搲㕡搲捤ㄳ㤶㌸㑤ㅡ㔸㘷㈲愸㌴㕥昵晣㡡捤愸㔲㥦㌹㔱㌹㕣昱㈷㉣㙦ㅥ㔱愸㐱㌳㑣摣㌹㈷ㅣ㔰㤷ぢ摢愷㈹慦㌲㍦㉦㑡扡㌹㔵愹㐲戴ㅤ㤸㔸つ㠷㜲慣て戶愴㍣㤷慢ち㥥捥捥挶攸㐲㤱㈷㘲昸㕡改㠹㕤㤱攷㥢㠷扥晥晡㡥㑥㕢㝥㔹昴㤸〱搳㌱㥤㌵戱㡢㠸ㅡ㤴扡捤改㌹㔷㠸㠹㍥㜳㥦㙢㤵捡㤶㈳㠸っ搸㤸っ搴ㅤㄴ戳㠸㄰㑣㔶ㄸ晦慢㌸㝤收戴㙢㌸摥扣挱㘰攲攲晡㠶㌷ㄹㄲ搱捣㌱换昱㌰㡣挴㈲搳晤收搴㕣攵㌴愲戵㔵摢搹㘷捣㝢慢〲㉢㈴晡攰㤱愸㔱㔴㐵㔵㤵慣㥡敤ㄴ㍦㍣㤰愷㔲摢昱㑢ㄳ㐸㕣愵㌴晡换ㄳ戴㌷敤晡㌰㍥㐳㍢㥤㜳敡㐵攴愸㤶搹㤵㈸㠵挹愹晡捤㙣㜳ぢ挰敤晢㡥ㅦ愸㐷攵摥㔷扣㕡愳㠷㍦㐱挶㑢戲愸〵㐱攸㥦㕢ㄷ㤰ち昳㐸㌹攰㐰㘰㥣㙦捤攴㤷㌳㘵ㅤ㔲摦扡㝡㜲㉦愲㐸扤收㐱㘳㐶㤴ㄱ㡢戶つ㝦㕤昰㐲㌳搶㌶捡㕥㔸㌶㕥戱㙤㠳愴㐵戲㥣㉡ㅡ愴攰搱慡㕦㌹㘴㌹扡〹㈰改㉦捣㌲捥㈰换㌸㈳戳㝡捤㘳っぢ捡㌴晢慡捣ㅡ慥攵捦搹㔶㌱换ㄷ㠶敥㔶〵㑤㠲挹㈹㜹愳㈷㤲ㄹ㐳㑤搶晣㜱㤸㙣㕥ㅥ攸捥㐳㡥㜲敢㠸㝥㔰慥慡㘴昰㐷改搰戱〴〱㈳扤愴晡慤攸㑤㤳㌷㈳㈰㜲攴㜳㉥扡㝦㜱敥ぢ挸〹晣㜲挴㝡〲㠹挰㈳ㄸㄳ昲㜴㙦㘷捣攳㡥攵〳㝢挴搸㕥换㥦昰㠰㜲〰㈴攵昱昶〲㠹搵㔸愳攱㥡㔶戸戴戵愸㐱㑤㕣搲㕡ㅥ搷ㅢ㔷㉥㔱ㅣ㘸㤴㤸㈲㔹慥㤲搴㉣㑢捣㜱㌵愹ㅡ㐵㉡敥㐸摢㈸㐹㙥搳晡扥㔳㡡扣て挵㈴㘹㈶愵敦㤲㠴㠲㈰㉦愹〳㍡㡡晥晡㘴昲㠸㐵㙢㘸〳攴愸愷㠲扣扥㌰ㅣ㜸〰㔷㑥㑡㈲ㄷ扥㠱扦搷㠵挹㈳㔵扦愱挴㌸㌳ㄸ㤶㡣㤶换㐷ㅣ㔸〹㐵挳㉤慤ㄲ㤶挶摡〲つ㈳戹戳㔳敤ㅦ㙣㙦㡣ㄱ㐳㌶㘴㐸㈴挱てっ㌶〴㜳挵愲愹戴捥晡戸搵戵散㉣摦づ〹挳㤱ㄸ㤸昲㑢ㄳ㘲㐱㥡㘱㜵㑢㝥㔰㌶愸㥤ㄶ愵ㅣ搵捤搱ㄹて㉡摤愷ㅣて㔳㤲挱㜵昳ㄸ摤㔲戸挰〰戱ㅢ愶㈶㡢㍥挲扡戵づ㜸㌲㔸㍤搸挱㡥〴㘱ㄳ㕡㘷㤴愰㤹〴挲㙤㕣〴㜹愷㐳㡣㐲㤰㥡昲㜹㙢户昲攴ㄳ㝣㝥戲㍢ㄵ㈵㐲㈶㘲愸㉢挱㝡〰㜲攳㔱㐹㜲搱㘰ㄴ㉣て㈴㥢ㄴ㕡扤㔱ㅥ㑤㡣㍥㥡㝣慥㡦ㅢ㍣㡣㘳昵㤳㙤捡戸攳收㕢搰愶攵挵㜵收〱愷㔸慥㤶㠴㔴挵㤱慣㤶ㅡ㜹㔵攰㑢㕥晦ぢ戸㈹㘱㕦挲㑤㌹㠰愳ㄴ㤷㑣㈴㜵㙥㜷敢㥦㐴㜳㈹攴搰㐷㈰摢ㄸ㝣㑣㜰换挹㘰㔸换ㅤ〵摡㠷敢敢㤷ㄷ攴挵㌹㠸戴㤶㉣捡戲㠳戸㡢㔷㡢㈰㑢㙥㡢㔵㍢㔸㌹㔸愱捤ㅥ换摡㙦〵㔹慢〲㐷㔸㘷㈰昰㌲ㄹㄸ㈳ㅤ㜲〷㍢㐹㥤ぢ㈳扢攷扥㈰㕦㔳攷㜶㠷挶㠷挲昸㉥㑦㐱㈹散㉡ㄸ㠹〶户㕡户扡ㄵ㐶㝥㘹㜹敢户〱㈸っ〱搳愰㐵捤挰挰ㄹ㐳㝡㜹〳㠷挱挸㠴攸㘸㍣㤰捡ㄸ攵㈰ㅣ昶㐰ㅡ戸㠹〷改改ち㤴㤰扦㐱㕥ち㡢敥㈵づ摢㌸〲㔵摣㑤㑤㤹㤳㠶㡦慢㉦捥㤶愶散搱㔲㠹收㉥晣㜳慢〲慢戸戶ㄱ㤸愳ㅢ㥡㉥㘴挹㌵搱扥扢愲愹㈰扣㈸戸㝤㈲扦摦昰㡢㜳㔳晥㘲㜰㘹慢㔳㤲搰㝥〱㝦挴㤲愳搳㘶㑥㍢扣㠴扡挰扤捦㥤㜲㉡愷ㅤ㌹㉦捤攳㡤㍦㕡戱㝡㜷㌷㈷㤹㑢扤㡢㍦昲㔱㔳摡换攸㜱㈵搳㘶〷㜵〷〹晢㤱㑦㈰つ㠶㤰㑥愰ㄳ搸敥戵ㅢ〳愴㤳つ㑤㜴㈲〵挱ㅡ愱㌸戳ㅦㄸ愱㈸㍦〷㕡㐹㉣挱㤱ㅣ㝢晥㉣㔸㕦昹ㄹ㜲㠸㜰扣㠷㘲㐴扢っ愹〴搴㐹㐱ㅥ㕥敦攰㘵㤰晦ㅦ㉣㐵摣扣㈴㍢晤ㄷ㤸㔹㜹愹ㄹ㐵㤷㄰㐵㉦戶愲㠸㠱搸昷ㄴ昲收散搷㡥㥡ㅦ晡戵摥晦攱㔱昳㜶㘰㤸㡦戴挶㄰㔴㘳㌰扥㘶っ㜴戵ㄸ〳㔷愱㔸ㅡ〳㜷戰つ攳昵㠱㌱㄰㝡㍢づ㈱㘳㜹㘳㠰㔱扣〴㤳㉦ㄶ㔴㡤㌹㌰㜸搶摡㘴搳ㄳ戶ㅦ搷㙢㠵㠷挸㍤搴㤳㌷づ摦搳收搶散㐹挳㌵散㉤㌲㝦㥦㉢愰戶摣㘹摣搷㤶㑤搸攲㠲㈵㑢㘴愳㈵扣ㄲ㤱㍦㝤捤㜳戲戲㕢敡挰㔴昰〴㡥㝡㈵慢㘴摥㠷㑦㐴攱〹㈱昵搹つ捦敤晢敢晤て敤收扤戴㤰㔶㌵〶㠲㍢〹捥搳㜲㐰昸㌶㜶㈵㘴㈳㍦扦㌹㠴て㤱慣昹戲ㄸ㌳㕣㘹敦㜸扡ㅤ㈵〳挲㡢ㄱ㘶㐰㝣慢挱㤸挴つ㠷挰㤸捣㌷㌹㌶攵攷㑢搲ㄹ㤸㡦㑤㕣㝡敦愲〰愱搲㔶㘵㜵㘸㔷㙡㍦㠵搲㜹㡦ㄳ㘹戴〷㜹扥攴愳㈸捦㌷㙢戵㥤搴㙡搲㑣㔴㠶㔱㈳㤲㔲㠸㌴㤰㐲攲㐷ㄶ㠶晥愵㤴㥡㐴㐲换〳㈴挴搰㥡㠳戹㍣昹慦〹〱㔱扢摥搷攱愷㉡搸㐵㘰㌱昲扡㜷㝡㜶愵搵ㄹ愹㈶〶㘵攵改攳㈸ㄲ昲㤸挲っ㐶㘹㘵敥㌱㈴愲㐷ㅢ㐱㙡挵㡥㈷づ搲㘷〷㈱戶㠰戱㌵㥢㕥戵㥣扤挷愹攲㡥〷昴㑣㐶㉡っ㘷㍤戳㜱昴㤴搱戸愰㙡㉥挸㈲散て㤲戵㐶㍤㘱ㄱ㜴㤶戳〵攷㑦㠴昹昸㍤㄰换㠷敢㕤㙦㙣㉥愱㡥㜳扡戱㐰晥㘰㝦㕤㤲挰搸ㄸ㤵ㅣ〳〹扢愲㕡搹攰ㄲ昸ㄴ㥡㐸㝢㕥搱敢㐹㡥愵㈸㡣㐶㐷㥣搵愵戶攸㝦挶愹㈵㘷㑤戳㌶〳搶つ晡晦〴㌲㤶搵晦ち愳㙣ㄲ㘵㜷㠶〹扥㘸㡣㤴㉣ㅢ㥣攱㡥挰㠷㡤㌰㡤㍣〲敢㌲挹攰㜶㤰㥡挲㈷慡㐱戱㤴攰昰㜰愵㥢㉦㐱搴摡搲戶敤㘹㉢〰ㄹ〵搲㝥っㄱ搴戶㍤㈷摤㝡㡥捤摣㠵散つ㠷慣愲㕢昱㉡愶㍦㌴㠵昰敥㄰扦㌰㌳㘱昳㡣㉡捦㌶ぢ戵㉢戰ㄳ扤㜷愳捤攱㈳㄰搸㠷㠵晦㐱㐵ㅤㄹ㐳㔸㔹捣㠲㕦ㅢつ挴〲㐹搴づ摥㜹收搱慡㔱挶〷慡㐷攰搵昴㤹戵㉡㤴㕤攰㕢㙥扥㡢挱慤挳㙤慣㍢攰昹ㄱ攵㍣挲㘰㜲〹㜷摦挳㝤㙤摥㠳挶扡攱摡㍣搶散捣扢㤶搳㝥〴㥣慥㙣㤴㐶㤲攱㤸晣敥㌸愷摦㐳㠸㌸て扤愳㉢㜷挵戲户㐱搰㜹昸搹㌶㕤㕥挳㘵㌸捡㔶㄰攷晥っ㥡㉡户ㄱ攰愷ㄷ挲〴㕦ㄴ晡昳㙥㘵攲㘹㉣㡢っ㠰㜴㉡㘳〰戴愷敡ㅦ㉣㐵搵ち㡦ㄶ愴挲㥣昲㝤㤴㜳㤷㠲搵㤶㤸㠷愳㠶㍣㐲㈰慤ぢ㠰攸㔱㜸㠴㤰攳㍦㠹〶戵昱㘷㤱摢㝥晣敦㉥㌹㍥㤵扦㕣㕦扣晦㠱㐸㜹攸㈷㔱慣㥦㈲㈸ㄳ搸〰〳㤱づ改愷㔸愴慣挹〴㐱㠴㤷㜶㈳㡤攷て攱扦㙦散㝥敤㔵㍥晦摡慤㐸㐱㠸愲挶㔵㔰㄰捡㔵㍣ㄶ㕦挵㍣㜲摢慦攲㥢㑢慤㘲㠰㌲㤲㌳搱㕤㠰扥㉥㠵戴㈲㔷攵㈱挱つ攵㑦㤱〸㐵愲㘱ㄶ〳㐴慣㙣㕢㐵〲㙤戹昳戲敤〲ㄲ㔱摢㠱㘸㝢㌴敥㐸挲户㍣搲㔰攲摤㐷扡㙦㌲㠱晦㌵ㄳ愸挷慣ㅤ㍡㕥㔷㠵㤰挰摡昸㜱㙣㕢搹㥥改㌰愸慦㍣ㅡ㘱㘸晦晥攸㐳㈹㌵っ㌳㠱㐲〲搳㤴ㄴ挵㡤㔴扥ㄲ㔵㝥晥㠵扡㤷ㄴ〵㜸㐰㐶㐱㘵㔲㥥慣晣㐸㔴㜹㍢㍥挲㤲㜵㔲扣㌴挰攷㡤愸㌲㈹㔴㔶㝥㌸慡晣捦敤㕢㙡㤵㈳㠲っ㝡搶㐸㉤〹㐶慦㍣〶挴㍥挸收改㕡㌳愹㐸㝢捣㈰㥢㈲㔴㐶㡢换㔲㤵昶攲晥㠷㡢㑦愲て攲㍡ㄳ㙥㝤㐰摡〶晦㌳挲〱㕣㜳㥡㌰㝣〳㕦㍣㉦㈰扥散敡昲㡤㡤㌳收ㄱㄷㄹ摤收〱て㠷慢搲慡㈲ㄱ搸〵改㘰㝦㤷昱挳㈷搸㤰昵晤㠸攲㘲㉡慦㡤㜴愶㐵㘴㉣㈵慤㍣ㄴ㘱㌶㜵戶㑥㌳晡攷㠰ㅣ挸㑢㐰㈶昴捦〳〶戱㤷つ捣ㄸ愰㈰㤰㕣㝥ㄶ〹晤㐱㠲㉦〲攴ㄴ㜲㍤改㈰昳㈵㠰晥攸晦愵ㄸ㕡㤰㡥ㄳ㔵㜹㈰ㅡ㉣㑥㐶晡㤷搹攰㘱㠰㉥㜸㙣㤵㤰〸㜳晡㈳挸㠹て㑡〹㈲〷㝤㤴〵㕦㈵昸ㅡ㐰㑥攳㘴㔷扣㙢㕣㔳㠷㉡散敢㘸慡㜰㉢愴㐰晢㐶㤸攰㡢㜶ㄶ攰搶昶㐶㌳捦挴搱㜷晣㠸㙥㌶㝣戰扦〷ㅦ攰㉦㜲搱㕤昸晦㐷㌴㘹攱愷搵㡦㜷搶ㄷ㤹㐰攳㝣昸㜳戱搹敦愳ㅦ慥慢㙥㙣戲挷㑦攰㤷㔵㌳捡㠳昸昷㉣㝥捡㝤ㄸ㠱愳㔰攵㘶攱㙦㈱つ挸㠲昹戰㠰扡㑢㝦っ㐰㈱㡥㠹㈷晤㜱扥ㄱ戵散㕦晦㔶㤸攰㡢㐲扣㥥㘵愲ㅣ㌶㡦〶㈴慥㘵挱愹愶〱㠹㝦㔹㜰㌲㍥攰㜷㤰慢㐸㘴㈱搱愸㥥㠸戴㌴㜳㥦〰攸敢敡攷摣愸敥搴㌳㑡昱摥搲扤昷扥摤㥦ㅥ扡㈰晤愹摢㝡㥦㜸攳㜷㙦㍥晥晡愷㜷晤攳㥤愷㥥㝡晤㙦㡦扦晡捥换㌳扢㝥昳捣㌳扦扥晤㠷慦扥戹摥㝣㕡㝤攱敤㠳㑦㍦㌰㜲敡㠱晢捣攳搷敦㝢攰慥㤳㐷㐷㈶捦ㅢ敥敡敡敥扥㘶昰户攷㕦㍢㜰昶扥ㄷ㤵㕦晥㜹戳愳挸攵㜲㐰〱㄰㍤〳㕣戶㥣挶昷㤰挰㌴㌸攳て㜵ㅡ㕣敥㔹晣㤴㔲戸㔱㘳㜸挹挲戹挱〹挸㠲㘲㘳㐱捦㝦〰晡慢戳㐸</t>
  </si>
  <si>
    <t>Std Dev</t>
  </si>
  <si>
    <t>69168a06-c1dc-4acb-a61a-103433e9f3d0</t>
  </si>
  <si>
    <t>Est Mean Demand</t>
  </si>
  <si>
    <t>Simulated Demand</t>
  </si>
  <si>
    <t>f4179933-0f93-4364-99da-b1c47ef543c0</t>
  </si>
  <si>
    <t>㜸〱敤㕣㕢㙣ㅣ㔷ㄹ摥ㄹ敦慣㜷搶㜶散挶㘹摡昴ㄲっ扤攳㘸㠹搳㠴戶㤴㤰晡搲㕣㕡㈷㜶㘳㈷〵㜱搹㡥㜷捦搸㤳散捣戸㌳戳㑥㕣ち㑤㠱㤶扢㄰攵〱ち〵慡ち㔵昰㠲㔴ㅥ慡〲㐵〸㠴㔴㠴ち攲〱㈱昱㠰㔴㄰㠲〷㄰㡡攰愵て㤵捡昷㥤㤹搹㥤摤昵㡥摤㙤ぢ㉥昲㈴晢攷捣戹㥦昳㕦捦晦㥦㐹㐶挹㘴㌲慦攲攱扦㝣戲㑣㕣㌵户敡〷挲㉥㑥扡搵慡㈸〷㤶敢昸挵㜱捦㌳㔶愷㉤㍦攸㐱㠵㕣挹㐲戹慦㤵㝣敢〱㤱㉦慤〸捦㐷㈵㉤㤳挹攷㜵ㄵ攵散㠴扦愱昸㐵㘷慢晥㉣挰晣攴挴捣挲ㄹ昴㍡ㄷ戸㥥搸㌳㜲㍡㙣㝢㜰㙣慣㌸㔶扣㜹晦搸㙤挵扤㝢㐶㈶㙢搵愰收㠹㠳㡥愸〵㥥㔱摤㌳㌲㕢㕢愸㕡攵扢挵敡扣㝢㔶㌸〷挵挲摥㥢ㄷ㡣晤户㡥敤㍦㜰挰扣敤戶㕢晢㌱㜴收挴攴挴慣㈷㑣晦つ敡㔳攳㤴昷㑦㠹戲挵戵〹攱㔹捥㘲㜱㜲〲㝦ㄳ昳挷摢㉤挵戹㈵㈱〲づ㉤㍣攱㤴㠵慦愳㘱㥦㍤敥晢㌵㝢㤹㥢愷摢㠷戱搴戲攱〷㥡㍤㈹慡㔵摤㡥㝢捤摢㌳搸扢慡戱摡㙦捦〹挷户〲㙢挵ち㔶㜳昶㍣㍡慡っ搸愷㝣㜱搲㜰ㄶ挵〹挳ㄶ㥡㝤愴㘶㔵戲攱㤳改戹㈱敥㈲㌹㌱戹晣攲戸㙦㑦㉥ㄹ㥥㥣㤱捦㡤㐹愹㝢搸㉢㌷搷扤愶㜳扦㥣扡ㅣ㠱㝤㕥搷戹ㅥ㑡㑥ㅢ㕥扤收㘸攷㥡搱攲㥢㘷昰慥捥昵ㄳ㝢搴摣收愶捥㙤攴㔶㌶搷㔶晡㈲晡㤶㍢㡡挵攸㌹㠲㕥㠲㍣〱ㄱ愸ㄷ〸晡〸晡〱㤴散扦挱㈵挹㠶㉣㔲㑢㠶㕡㕡㔰㑢㘵戵㔴㔱㑢㐲㉤㤹㙡㘹㔱㉤㉤愹㈵㑢㉤㥤㔱㑢㘷㔱㈷㝥昲扤扤㙡昴扣昰挸捥㝦晥㝣㘶㘵晡㜹昷愷㝦晣挹扦㜶敦敤摦㠶㑡昷㐴㤳㥡昲㡣㜳㈰戵〶ㄵ敦㉢敥攵㥦昵戹〲㑣㘱ㅥ㌰㙦㌱挷挶㉡〷昶ㅡ㌷ㅢㅡ㤷㤵㠲晣㈶㐲ㄹ㐲摤㝥昳㕥换愹戸攷㈴敥慥㥡㌰㝣搱搸戸搱愸㙣挲慤㌹ㄵ晦捡戵ぢ攷〲㈳㄰㔷戴㤶㌵㍡㘹㙢㌶〷戶ㄲ扥ㅣ㙦㜷㙢戳搳㐶戵㈶挶捦㕢㘱昱搵㉤挵昶慣攷㉥㜴㉥㍤散㠹晢敢愵㙤㌳ㅡ㠷㔰㕢㤱㝤户慤㌲㉣ち攷㌵㌲戹攴晡挲㤱搳ㅢ戵㘷慤昲㔹攱捤〹㡡㐴㔱㤱㑢扤㤴㐵ㄱ搷㡦捥㌸㔸㈸戸戵昲㡥㘴慥㜹攷昹〰捣㉣㉡㤸敦戲昰㠲搵㜹㘳愱㉡㜶㌶㔵〹挷㐴挱慥愶散挳㙥戹收㑦扡㑥攰戹搵收㤲昱捡㡡〱㐹㔳㌹敥㔶㐴㌶㥢㤱㐲〱〲户愷㐷㔱㌲敦散捣ぢㄲㄱ〹ㄴ㤳㤱㉦㙦㈶扢攲㐹慣づ慢愸ち搲愴㝡敤㍡㥤㜱扥㔲挶愴㜰㘰㘲㑤搴ㅦㅣ昴挶㜵扡慤㘳敥捤慤慣慡挳搱敡敦㕣ㄱ㑥㜰搴㜰㉡㔵攱愵㙡㍦㠵㌳搲〷〱戴㡢㄰〸ㅤ㜷㡦慡㑥㌹慦慣㙡攷慣㑡戰㤴㕢ㄲ搶攲㔲㠰㍣㘸挸㝣㥥㕢摢昶攸㤷㈰㑢摦㑥㌰っ㔰㈸㘴㜲㍢㔸㈹㔷挰㤳搱㈸㥤㔲㜸戹㐹㤰戳㕤ㄳ㉦昷㥢㠷慤㙡㈰㐲愱㍣㘸〲㈳愱㔶㤳攸ㅢ㈰㠹㝡㐶㌹㔴ㄸ㍢捣㐹㔰愹㘱㌹挱㙡㠳㙦摢戸㈴㈴愲㉤㔹戰改㘴〱㐵㐱戳㍣㐸攱㌵㄰㑤㡢㌴㐸慦㥣㈰㈲戲㐱㡡㘶㐷捦捤㐴挶晡㈹㌲〲昵㤳㐴挸摡㝢㍢换〸ㄲ㝢㍢㤱戲㔱㐷㝥摣㤲㘶㙢搹昲愱㌴扢ㄴㅢ愷敦㈴戸㡣攰㜲㠲㕤〰捡㕦㈱攱㈸攵㤰㙥㝥昴㉢昱慥㕦㐵㜰㌵〰攴㤳㑥㤹ㄳ㠹㉡摡㔰ㅢ戱㈳㔹㙦〰㜶戲㌴㡡㐳㔱㐴换戸㙥㘷づ搸ㄲ搱㤱搵戹㌹㜴㙤㔶敡搸敢㍢搳㘶㜲㌹愴挸㤴慡挹戵慥㔳㌵戹ㄱ慣摡愵摥㝡ㅢ㥡敡㈳〴㙦〷〸ㄵぢ㡤摤㡤㔹昳㌴㈷摦ㄲ㈶㔱㘸〸㜵愹摣㈳㈲愶昹㥦㈲攰摡㡥㉥㕢昶㌳㑤挱㔱昳㉤㙦㍦敦改捣摢ㄱ搲㕢㜴收㤶捥愱慦攸㌵㕡搰敦〰㝢㈹㝦散愸㕦慥㐵戱㝥ㅤ挱昵〰㉤晡㠵㈷敦搷敡㈵㤰㈶戱㥤挰摣㜶㝡㕣愴㠵㍢扦扡㉣愴昶改㌷攷つ㙦㔱〴昰㕥ㅣ㥢㠲ㅤ散㝡㥥愸攲㐰㕢㤱ㄹ㍣扢㕣搶㥣改ㅦ昶㕣㥢昹㕢昶戱晦㤶㔰っ搹慣摡㤳㘹戱㡦㔳散捣㠴扦㈹㐱㌹搴扦㌷㜷ㄶㄲ㠹㐶捤攴挵㜶改㘷换㉤㐹搲㠵㈴戹ㄱ摢慡摦〴〰㈹愱晣扥愳㐴ㄹ㘵戵㍤戲㕡戳戵㑡敦㕥捡挹愴挵㝦搸㈶㐷晡㐲㘷敤〴㝣〷晥㠰㍤㘷搹㜵㘱搱㘷捦ち慦っ扦㠲㔵ㄵ㠵搰㈵㑢㔱戳㈵㉢摥㈲戲愲愷愷敤㉣㥤攲㕢㤳㜴搲㈲㈵㔲戹㍤戵㌰攵ㅣ摥㈰㉡扡㈰㈹㔴㔲摣㐲㜵〹㐴捡㘳摤㉤ㄱ搳㠵㠸㈹㘲攳昴㜷ㄱ散㈵ㄸ〳搰㝥〳㐹戳搱㡤㘷㈸慣㜷㠵敥散㔲㈹㤳㈷ㅡ愴㝢昰搷ㅤ㠵搵㝥づ㜳㠰攰摤〰㉤收て㥤㡦㈹㠴㈸㔱㥥㈰㐴㕡㑢扡㜹摡ㄲ攷㐸〳摢㑣〴㤵㈶㙢㝥攰摡㡣㉡つ㤸㔳敥〹㌷㤸戲晣㘵㐴愱㠶捤㈸㜱敦㤲㜰㐰㕤ㅥ㙣㥦㤶㍣㜷㜹㔹㔴㜴㜳捥慤㐱戴ㅤ㥢摡っ㠷㜲慣て戶愴㍣㤷慢ち㥥敥捥挶攸㐲㤱㈷㘲昸㕡改㠹摤㤰攷㥢㠷扥挱挶㡥捥㕢㐱㔵昴㤹㈱搳㌱㥤㌷戱㡢㠸ㅡ㔴㝡捤昹㈵㑦㠸愹〱昳㠸㘷㔵慡㤶㈳㠸っ搸㤸っ搴㑤㡢㐵㐴〸㘶㕤挶晦㕣㘷挰㥣昷っ挷㕦㌶ㄸ㑣㕣摤摥昴㈶㐳㈲㥡㌹㘱㌹㍥㠶㤱㔸㘴㝡搰㥣㕢㜲捦㈱㕡㕢戳㥤㈳挶戲扦㈹戰㐲愲てㅦ㠹ㅡ㐵㔵㔴㔵挹慢昹㙥昱挳〳㜹㈶戳て扦㉣㠱挴㔵㐶愳扦㍣㐵㝢搳慥㡦攲㌳戴搳㌹愷㝥㐴㡥敡㤹㍤愹㔲㤸㥣慡摦捡㌶户〱摣㜵攴搴戱㐶㔴敥㜵挵慢㌵㝡昸㔳㘴扣㈴㡢㝡㄰㠴晥戹㙤㈱愹㌰㡦㤴〳づ〴挶昹搶㑡㝥〵㔳搶㈱昵㙤㙢㈴て㈳㡡搴㙦㑥ㅢぢ愲㡡㔸戴㙤〴摢挲ㄷ㥡戱戶㔱昵愳戲㐹搷戶つ㤲ㄶ挹㜲慥㙣㤰㠲挷㙢㠱㝢摣㜲㜴ㄳ㐰搲㕦㤴㘵㥣㐷㤶㜱㕥㘶昵㥢㈷ㄹㄶ㤴㘹昶攵㉥ㅡ㥥ㄵ㉣搹㔶㌹捦ㄷ㠶敥㌶〵㑤㠲挹㈹㜹攳㈷㤶ㄹ㈳㉤搶晣㈹㤸㙣㝥ㄱ攸㉥㐲㡥㜲敢㠸㝥㔰慥慡攴昰㐷改搲戱〴〱㈳扤愴晡敤攸㑤㤳㌷㈳㈰㜲攴㜳㌱扥㝦㜱昱㈱攴㠴㝥㌹㘲㍤㠵㐴攰ㄱ㑣〸㜹扡户㜳收㈹挷ち㠰㍤㘲散戰ㄵ㑣昹㐰㌹〰㤲昲㜸㝢㠵挴㙡愲搱㘸㕤㉢扣慤扤愸㐹㑤散㙥㉦㑦敡㡤㙢搷㈸づ㌵㑡㐲㤱慣㔷㐹㙡㤶㌵收戸㤹㔴㡤㈲ㄵ㜷慣㙤㤴㌴户㘹㘳摦㈹㐵㕥㠷㘲㤲㌴㤳搱て㑡㐲㐱㤰㤷搴〱ㅤ㐵㝦㝤㍡㜹㈴愲㌵戴〱ち搴㔳㘱摥㐰ㄴづ㍣㠶㉢㈷ㄵ㔱㠸摥挰摦摢愲攴㑣㉤㘸㉡㌱捥て㐷㈵攳搵敡㡣〳㉢愱㙣㜸㤵㑤挲搲㔸㕢愸㘱㈴㜷㜶慢晤挳敤㑤㌰㘲挴㠶っ㠹愴昸㠱挱㠶㘰慥㐴㌴㤵搶搹〰户扡㥥㥤攷摢㜱㘱㌸ㄲ〳㜳㐱㘵㑡慣㐸㌳慣㘱挹て换〶昵搳愲㤴愳扡㌹扥攰㐳愵〷㤴攳㔱㑡㌲戸㙥㥥愴㕢ちㄷㄸ㈰㜶愳搴㙣㌹㐰㔸户摥〱㑦〶㥢〷㍢搸㤱㌰㙣㐲敢㡣ㄲ㌴㤷㐲戸捤㡢㈰敦㜴㠹㔱〸㔲㔳㍥晦㍣愴㝣晤㜱㍥摦㍢㤴㠹ㄳㄱㄳ㌱搴㤵㘲㍤〰戹挹愸㈴戹㘸㌸づ㤶㠷㤲㑤ち慤晥㌸㡦㈶挶〰㑤㍥㉦挰つㅥ挶戱〶挹㌶㔵摣㜱ぢ㉣㘸搳敡敡㌶昳㤸㔳慥搶㉡㐲慡攲㔸㔶㑢㡤扣㈹昰㈵慦晦㠵摣㤴戲㉦搱愶ㅣ挳㔱㡡㑢㈶㤲扡户扢昵昷愱戹ㄴ㜲攸㈳㤴㙤っ㍥愶戸攵㘴㌰慣敤㡥〲敤挳敤㡤换ぢ昲攲ㅣ㐴㕡㕢ㄶ㘵搹㌴敥攲搵㈳挸㤲摢ㄲ搵愶摤㘹㤷㌶㝢㈲敢愸ㄵ㘶㙤ちㅣ㘱㥤愱挰换攵㘰㡣㜴挹ㅤ散㈴㜳㌱㡡散㕥㝣㐸扥㘶㉥ㅥ㡡㡣て㠵昱㕤㥥㠲㌲搸㔵㌰ㄲつ㙥戵㘱㜵㉢㡣晣搲昲搶敦〰㔰ㄸ〲愶㐱㡢㥡愱㠱㌳㠱昴晡〶づ㠳㤱㈹搱搱㘴㈰㤵㌱捡㘱㌸散㠱㌴㜰ㄳて搲昳㉥㤴㔰戰㐳㕥ち㡢敦㈵㡥摡㌸〲戹摥捥㤶捣㔹㈳挰搵ㄷ㘷㔷㑢昶㜸愵㐲㜳ㄷ晥戹㑤㠱㔵㕣摢〸捤搱ㅤ㉤ㄷ戲攴㥡㘸摦㕤搳㔲㄰㕤ㄴ摣㌷㔵㍣㙡〴攵愵戹㘰㌵扣戴搵㉤㐹㘸㍦㠱㍦㘲捤搱㘹㌳㘷ㅤ㕥㐲㕤攱摥ㄷ捥㍡敥㌹㐷捥㑢昳㜹攳㡦㔶慣摥摢换㐹ㄶ㌲慦攲㡦㝣搴㡣昶㍣㝡摣挸戴搹㐱挳㐱挲㝥攴ㄳ㑡㠳ㄱ愴㔳攸〴戶㝢晤挶〰改㘴㐷ぢ㥤㐸㐱戰㐵㈸捥攲ㅢ㐶㈸捡㡦㠱㔶ㄲ㑢㜸㈴挷㥥㍦つ搶㔷㝥㠴ㅣ㈲ㅣ敦㤱ㄸ搱摥㡥㔴ち敡愴㈰㡦慥㜷昰㌲挸晦て㤶㘲㙥㕥㤳㥤晥ぢ捣慣晣戰ㄵ㐵扢㠹愲攷摡㔱挴㐰散㙢ち㜹㜳昶㕢㐷捤㌷晤㕡敦晦昰愸㜹ㄷ㌰捣㐷㕡㘳〸慡㌱ㄸ㕦㌷〶㝡摡㡣㠱敢㔰㉣㡤㠱扢搹㠶昱晡搰ㄸ㠸扣ㅤ挷㤱戱扥㌱挰㈸㕥㡡挹㤷〸慡㈶ㅣㄸ㍣㙢敤戴改〹㍢㡡敢戵挲㐷攴ㅥ敡挹㥦㠴敦改戲昶散㔹挳㌳散㕤㌲晦㠸㈷愰戶扣㜹摣搷㤶㑤搸攲㡡㌵㑢㘴愳㌵扣ㄲ戱㍦㝤换㜳戲戱㕢敡挰㔴昸㠴㡥㝡㈵慦攴㕥㠷㑦㐴攱〹㈱昳搱ㅤ摦㍦昲愷〷㍥㜵㠸昷搲㈲㕡搵ㄸ〸敥㈶㌸㑦换〱攱摢挴㤵㤰㑢昹昹捤㜱㝣㠸㘴㉤㔷挵㠴攱㐹㝢挷搷敤㌸ㄹㄲ㕥㠲㌰㐳攲摢っ挶㈴㙥㌸㠴挶㘴戱挵戱㈹㍦㕦㤲捥挰㘲㘲攲搲㝢ㄷ〷〸㤵㡥㉡慢㑢扢㔲晢〱㤴捥㙢㥣㐸戳㍤挸昳㈵ㅦ㐵㜹愶㔵慢ㅤ愰㔶㤳㘶愲㌲㡡ㅡ戱㤴㐲愴㠱ㄴ㤲㍣戲㌰昴㉦愵搴㉣ㄲ㕡ㄱ㈰㈵㠶搶ㅡ捣攵挹㝦㑢〸㠸晡昵扥㉥㍦㔵挱㉥〲㡢戱搷扤摢戳㉢慤捥㔸㌵㌱㈸㉢㑦ㅦ昷㈰㈱㡦㈹捣㘰㤴㔶收㥥㐴㈲㝥戴㌱愴㌶散㜸攲㈰〳㜶ㄸ㘲ぢㄹ㕢戳改㔵㉢搸㜷㍡㌵摣昱㠰㥥挹㐹㠵攱㙣㘷㌶㡥㥥㌲ㅡㄷ㔶㉤㠴㔹㠴㠳㘱戲摥愸㉦㉡㠲捥㜲㜶攱晣㠹㌰ㅦ扦〷㘲昹㘸愳敢㑢㕢㑢愸攳㥣㕥㉣㤰㍦搸㕦扢㔳ㄸㅢ愳㤲㘳㈰㘱㌷㔴㉢ㅦ㕥〲㥦㐳ㄳ㘹捦㉢㝡㈳挹戱ㄴ㠵搱攸㤸戳㝡搴㌶晤捦㌸戵攴慣㜹搶㘶挰扡㐹晦㥦㐶挶扡晡㕦㘱㤴㑤愲散摥㈸挱ㄷ㡤㤱㤲㜵㠳㌳摣ㄱ昸戰ㄱ愶㤱㐷㘰㕤㈶ㄹ摣づ㔳㜳昸㐴㌵㉣㤶ㄲㅣㅥ慥㙣敢㈵㠸㝡㕢摡戶㝤ㅤ〵㈰愳㐰摡㜷㈱㠲㍡戶攷愴摢捦戱戹て㈰㝢挷㜱慢散戹扥㙢〶㈳㜳〸敦㡥昰ぢ㌳ㄳ㌶捦戸昲㜴慢㔰扢〶㍢搱晦㐱戴㌹㌱〳㠱㝤㐲〴㙦㔴搴㤱㌱㠴㡤挵㉣昸戵搱㔰㈲㤰㐴敤攰㕦㘲摥㔳㌳慡昸㐰㜵〶㕥捤㠰㔹㥢㐲搹㠵扥攵搶扢ㄸ摣㍡摣挶扡ㅢ㥥ㅦ㔱㉤㈲っ㈶㤷昰挱て㜳㕦㕢昷愰戹㙥戴㌶㥦㌵扢昳慥ㄵ戴敦〰愷ㅢㅢ愵㤹㘴㌸㈶扦㍢㉥攸ㅦ㈶㐴㥣㠷摥搱㡤扢㘲搹摢㌰攸㍣晡㙣㥢㉥慦搱㉡ㅣ㘵ㅢ㠸㜳㝦〴㑤㤵㍢〸昰搳㑢㔱㠲㉦ち晤㜹户㌳昱㈴㤶㐵〶㐰㍡㤳㌳〰㍡㔳昵户搶愲㙡㠵㐷ぢ㔲㘱㐱昹㈶捡戹㑢攱㙡㉢捣挳㔱㐳ㅥ㈱㤰搶〵㐰晣㈸㍣㐲挸昱扦㡥〶昵昱ㄷ㤱摢㜹晣慦慤㌹㍥㤵扦㕣㕦戲晦愱㔸㜹攸㘷㔰慣㥦㈵愸ㄲ搸〰㐳戱づㄹ愴㔸愴慣挹㠵㐱㠴ㅦㅥ㐲ㅡ捦㙦愳㝦㕦㍡昴敢ㄷ昹晣攳㤰㈲〵㈱㡡㥡㔷㐱㐱㈸㔷昱攵攴㉡㤶㤱摢㜹ㄵ㕦㕡㙢ㄵ㐳㤴㤱㥣㠹敥〱っ昴㈸愴ㄵ戹㉡ㅦ〹㙥㈸㝦㡡㐴㈸ㄲ㑤戳ㄸ㈲㘲㘵摢ㅡㄲ㘸换㥤㤷㙤㔷㤰㠸摢づ挵摢愳㜱㐷㔲扥攵㤱㠶ㄲ敦㍥搲㝤㤳ぢ晤慦戹㔰㍤收敤挸昱扡㈹㠴〴搶挶㡦㘳㍢捡昶㕣㤷㐱㝤攵戳㌱㠶㡥ㅥ㡤㍦㤴㔲愳㌰ㄳ㈸㈴㌴㑤㐹㔱摣㐸攵㌳㜱攵㘷㥥㙤㜸㐹㔱㠰〷㘴ㄴ㔶㈶攵挹捡㥦㡥㉢敦挳㐷㔸戲㑥㠶㤷〶昸扣ㄴ㔷㈶㠵捡捡㡦挶㤵晦扥㙦㔷扤㜲㑣㤰㘱捦ㅡ愹㈵挵攸㤵挷㠰挴〷搹㍣㕤㙢㈶ㄵ㘹㥦ㄹ㘶㔳㠴捡㘸㜱㔵慡搲㝥摣晦昰昰㐹昴㌴慥㌳攱搶〷愴㙤昸㍦㈳ㅣ挳㌵愷㈹㈳㌰昰挵昳ち攲换㥥㉥摦搸㌸㘷捥㜸挸攸㌵㡦昹㌸㕣㔵㌶ㄵ㠹挰㉥挸㠶晢扢㡥ㅦ㍥挵㠶㙣散㐷ㅣㄷ㔳㜹㙤愴㍢㉤㈲㘳㈹㔹攵㔳㌱㘶㌳ㄷㅡ㌴愳㝦っ挸㠱扣〴㘴㐲晦㌸㘰ㄸ㝢搹挱㡣㈱ち〲挹攵ㄷ㤰搰ㅦ㈶昸〴㐰㐱㈱搷㤳づ㜲㥦〴ㄸ㡣晦㕦㡡㤱ㄵ改㌸㔱㤵〷攳挱㤲㘴愴㍦挲〶㡦〲昴挰㘳慢㐴㐴㔸搰㍦㡤㥣攴愰㤴㈰㜲搰捦戲攰㜳〴㥦〷㈸㘸㥣散㠶㜷㡤㙢敡㔲㠵㝤〱㑤ㄵ㙥㠵ㄴ㘸㕦㡣ㄲ㝣搱㉥〰摣摥搹㘸收㤹㌸晥㡥ㅦ搱捤愶て昶敦挴〷昸慢㕣㜴て晥晦ㄱ㑤㕡昸㔹昵㍤摤昵㐵㈶搰㌸ㅦ晥㍣㙣昶敢攸㠷敢㙡ㄸ㥢散昱扤昸攵搵㥣昲㌰晥扤㠰㥦㜲㍦㐶攰㈸㔴戹㜹昸㕢㐸〳戲㘰㌹㉡愰敥搲扦っ愰㄰挷挴㤳晥ㄸ摦㠸㕡昶慦㝦㈵㑡昰㐵㈱㕥㉦㌰㔱㡤㥡挷〳ㄲ搷戲攰㙣换㠰挴扦㉣㌸㤳ㅣ昰慢挸㔵㈴戲㤰㘸㔶㑦㐴㕡㤶戹㡦〳っ昴っ㜲㙥㔴㜷敡㜹愵㝣㕦攵扥晢㕥ㅥ捣㡥㕣㤱㝤晦ㅤ晤㡦扦昴慢㍦㍦昶扢てㅤ晣摢㉢㑦㍣昱扢扦㍣昶攲㉢捦㉦ㅣ㝣攱愹愷㝥㜱搷户㕦晣昳㜶昳㐹昵搹㤷愷㥦㝣㜰散散㠳昷㥢愷摥㜹攴挱て㥣戹㘷㙣昶㤲搱㥥㥥摥摥ㅢ㠶㝦㜹昹㡤㐳ㄷ敥㝦㑥昹搹ㅦ㉥㜳ㄴ戹㕣づ㈸〰攲㘷㠸换㤶搳昸〶ㄲ㤸〶㘷晣愶㑥㠳换扤㠰㥦㔲㠹㌶㙡〲㉦㜹㌸㌷㌸〱㔹㔰㙥㉥攸晢て攸㔷戴㈵</t>
  </si>
  <si>
    <t>Firm Value +/-</t>
  </si>
  <si>
    <t>㜸〱敤㝣㜹㜸㕣搵㤵㘷摤㤲敡㐹户㈴㔹㘵捣㙡ㄲ㄰㠹㘹ㅣ㘴㐴慤㕡っ〶㙤㕥〴挲㌶挸㐰㐸㐳挴慢慡㔷戸㜰㉤愶慡㘴㉣㍥〲㘶㤹㝣㌰搳㈴㌴搰〴攸㑥㌷㔹挸挲ㄲ挸㤷㉦㥤㐰ㄳ〲㐳ㄲ〸ㅦ㤹㤹敥㉣㑣㈰搳敤㘴㝡㐹挶搰㄰㐸〸挹㈴㘱㝥扦昳摥慢㝡戵㐸戲ㅤ昲㡤晦攸㈷搵愹㝢捦㌹㜷㍢昷摣㝢捦㍤昷扥昲㈹㥦捦昷㌶ㅥ㝥昳㘹㘷攰㕤㌳昳攵㡡㤵ㅦ㤸㈸收㜲㔶慡㤲㉤ㄶ捡〳㘳愵㤲㌹㍦㥤㉤㔷摡挰㘰捣㘶㐱㉦〷㘶换搹慢慣捥搹㕤㔶愹っ愶㠰捦搷搹愹晤愰㜷㍡㥦㤰ㅢ搱㑣愵摢〹挰攵搳〶㐱〷〱㔹戵㈶〸〲㜴㜷〱㙣㥢ㄸ摦㤲扣ㅣ〵捦㔴㡡㈵㙢㑤摦〵㜶昶敢㈲㤱㠱挸㐰㉣ㅥㄹㄹ〸慦改㥢㤸换㔵收㑡搶扡㠲㌵㔷㈹㤹戹㌵㝤㕢攷㤲戹㙣敡㙣㙢㝥㕢㜱㠷㔵㔸㘷㈵挳戱愴ㄹㅦ㡥挴ㄳ㠹捣挸挸㜰㜷㌷㜲摥㍣㌱扥戵㘴㘵捡敦㔴㥥㍤捣㜳换挴昸挰㘶慢昲㑥攵戹っ㜹㈲换挹㘲摥捣ㄶ摥愱㑣〳ㄴ㝦㘲搲㑡㘵搹㑦㤶㔵捡ㄶ㉥ㅢ㐰戵敢〴㡤搸搰挰㔸戹㍣㤷摦挹㉥㥦戰㜲戹昳慣㡣昴㑦㝥戲㕣搹㙡㤶昲攵敥㍣攵㘷㤵慣㐲捡㉡㉦换慦摦㥤戲㜲づ㘳戹㌳㝦㠱㔹摡㙣收慤㜶〶㝡昳㜶ㅦ㑥愵慤㐲㈵㕢㤹敦挹㥦㕦戶捥㌳ぢ㤷㔹㘴〹攴㌷捥㘵搳慡扤ㅤ晦扥戶㤳㕡搵㑣㍡ち昵挹㑦㙣㌷㑢ㄵ㠹戱ぢ㈳慤㜸㍤敡㈲慤愸慢ㄷ㔵慡慦㈱ㄵ晢㙣㈶㥢㍦摢㉡ㄵ慣ㅣぢ㘱㑦昶㌷㌰㠹㠰散㝥愸㑡捡㙤づ㝢㐹㜵㌹攳㠴㙤㘱㈹㐶㉦挰昰收㘲㈹て㠵㍣挷㌲ぢ敢ㄲ㠹愱攱㤱㠱昸㔰㙣㜰㌸ㅥ㡤㠴ㄳ㤱㤱㌵㌳㤵昴愴戵㑢㈸〳㈳㌵㑡㌴愱㐳㐸慤㤷㌳㥦挳〰㔶愰㝥㜳㌹戳㘲愵㔱昹扣㔹㐸慦㡤慤搵㉢挸㜲㌸㠰㙡摦㠷㔱摢㔸〱晦慣改㥦㑤晡㘷㔳晥搹戴㝦搶昲捦㘶晣戳㤷昹㘷户晢㘷戳晥搹换晤戳㍢㤰搲㝤㍡㍢㍡晣捥㘳㍤㘱摤戵晥搵攳㌶摥昵慦扥捦ㅡㅢ昶㙣㔳ㅣ愸㌲捥㡦㐴攰㜸㙦㠳㈲攱愱㔸㈲散㌶㐲㘲晡㈸㌰改愳〱㡣㘳〰㥡敢ㅤ㕦慢㔷㤲攵㔸〰愵晥ㄹ昵㘶摤愷㑡愷扥昱㤱㕢晥晢搸㙤慦㝦攵挵㉢㍥昴搶愳〱㑥っ戱㔶㕤搰搸扢ㅢ㌰㉢愴捣㜲挵㔱㍣㑥㈳敦慣㕥㉥慤㤶ㅢ㑡愹㍦扥㕡愲㤰㜷㐴㉤昵扢㈹晤攳〰㡣攳〱づ摦㤰㉤攵晢㉥㌰㜳㜳㔶摦敡捤摢挶晢㔶㡤㈴摥愷晢挸㜳〲㠰㔲晦攸昴搰ㄳㅦ扦昸㘷㑦㕦㌳㜸昶㥤㙡搳㥡ㅤ㤳㔳晦慡㌸㙢㡢㕡扣ㄷ㠱〶戵〸攳愹愹〵㈲㝡ㄵ㜳㍣ㄱ挰昸ㄳ㠰㔰愳㍡敢㤳㐸㕦つ愰搴ぢ㑥㠹㉦㙤晤摣㙢㘷散摤㍢昹挸改搳㉦敤敢扡攴㉥挵扥㤵ㄲ㑦㐶㘰挸慢㠸挳昱㐴㜴㜰㈰ㄶ攱〰㤳㔱攴ㄶ㑥挲挰愰㠷㄰搳晤㉣㘹つ㠰㜱ち㐰戳㠲㐶搷敡〱戲㥣ち愰搴晦㜰㉡昳搶户㝢㉥晥㜲摢昷搶摦昱改敦晣㈴扥攷戴攳ㄴ愷㐲㔹扤㈲㘴㡥〲ㄸ㌱㠰㘵ㅥ㜹昶㥦㝡㡡㡥㤳㥡〰㔰敡㌹㈷慢ㅢ㕥ㅡ昹㕦昷慤㕤㝢昶〳ㅤ愷摥昳攱挳扦晢㑢挵〵㑦摡㌵㠴㐰㥤㈴㐷㌰挰慡㤳〴㈳〳㈳㝡㤸㌹㡥〰ㄸ㙢〱㥡敢㥦㔸慢㑦㈳换改〰㑡㍤敤ㄴ㝡搳㜷扥㜰昵㥦摤㔷摡昸改敥昱ㅢ扦晥搰㘹换ㄵㄷ㔸㈹昴っ〴㑥昶ち㌳㌱㌲㡣㘹㙡愴昶挴㕣㘹㠲㌲愲捦㘴收愳〰挶ㄸ㐰㜳昹㠳㙢昵㌸㔹㈶〰㤴㝡摣㈹㝦㙦攲晡㝦搲摤户㙤昸㜸㌹昷搵㥦慥㤸ち㜴慦〷昹㕣㘷捡㥣㉣㤹㔷㘲ㄱ慡慤㙦搱㠱㌰晦㤶㕥搸戱慥㘷ㄲ㤹愱㑣㈴㤲㑥㠴捤㤸ㄹ攰戴戹扦㉢〸㜹扢㌳ㄷ㘶ぢ改攲㤵戲愴扣㙢摣㉣㕢戵愱摣敦搰挶㡢㜳㠵㜴昹搸搶挴㤹ち㘶攵㤵㡤戴㕡㈶㑤挹㘶戰攰㕡㘵㈹敦戸挶㘴㌲づ挷㜶㘷㙤昲扢ㅢ挸㔸㙥㡢挹㠵愹ㅢ㑡搶ㄵ㔵㙡㔳㡤挶㘰扡敤戲㐸㙦㙡愵㑤戲敢搵㌷戱扤㔸戶ち㔲扤晥晣搶㙣㙡㠷㔵㥡戱㘸昸㔹㘹㘹敡ㄱ㈴㌹㙢㝥晦㤶〲ㅡ㡡㔵㍣晤ㅥ㉦㌶戳㝥㜷挵㉡愴慤㌴敡扢搳㉡㔵收户㤹挹㥣㜵㘴ㅤ㡢㕤㈶〸挷搴愱㌷ㄴ㔳㜳攵㠹㘲愱㔲㉡收敡㈹㘳改㕤㈶散㡣昴㌹挵戴〵㌳愱㥤㡦㑦昹摡摡㤴昲㥤摣㙡愱㘰扥攵〱改〸㑦ㄷ搳㙡㌸扡㕥敤〶捥㐳敢搰㡡㥣㐵㥤昴慦㕡㈲㌳挹㤷搹扣㙦㘱㐶㑦㥢㘸㈵㤳㝢昵挲摣㔲挷㙡捦晤㜱㤹晤晥ㄵ㑥敢搷敦㠲㉤戶〹愶㐴捥㉡㉤㙡攳㉢搶㐸㙦〰〸㍣㡡搱扣愰昴㘸㈷愸摤㙡㍥㜰㘵㌶㕤搹㙥㙣户戲㤷㙤慦〰㠷㝤㐰㘷㈷㐵摢昴攸㑤㐰改㈹㠲戳〰㠲㐱㥦㜱㌶㤹㡣愰㥥戶攳〱㕡㐰〷㙥攵㜱愷愱挵慡挴ㄶ愰ㅣ挸挳㐸㈸户戵戵㙡攵㈶戳扣扤㐲昵㕣㤴搸挵晣捥㈱搸っ㄰愰攱戵愴ㄱ㐹昳慦㥤戶㜲㑦㝥搲捡㤸搸愱挸攸㔶㘶㈰㙦ㅢ扤㤳㔶㌹愵㘹ㅤ㑦㘱慣散㌶㄰挲㈲摣㥤愷昶㕢扢㉢㤳㘶挵散挸挳捥㐶㉦㘹㌰昵㑢㉡㍢挴㤴㍤㠲㜳㔳〷㥤ㄸ㜲〸㐹搰㤳㑢㤷㈰散㥣㌰㜰㌰㕥㝣㙤づ㕣扣ㄱ慣㍢ㅡ㘱㌴㉡㝡扤扤っ㌳㍥扤搱㉡㙣㥢摦㘹㤵挹摥㘹㉣㉡捡挶攱挵捣戶愴㤲攷㔷戲戹昲〰㙡扡戱㔴㥣摢昹㑥收挳扣昴ㄶ〰昷〹㍣〲㉤摥晦㌶㜱て摣戱㡢㝤㌳㍢敢敢㘴㙥挴㘸㕡攵㥡摡㡡捣摥挶㤷㍣㝡〶㕦挱挵㘸〱摡敢〷戲户愰㡤搱㥤㠷㠴戶㤵㉣搹㉤㜵㑡〴搲敥挹㕦㔸㉣敤㐸ㄶ㡢㍢愸㑦换㈴㔶摥㙥㔹ㄵ搹㠱㌸㍢㉥搹㔹㈹搵搶㔶户㍢昰㙣㔵戸㜷㌱㉥〴攸ㄹ换攵晡摣ㅣ换挶晢㠱㙡挳㕥挸戸〸㠱㤳愳攱㐸扣㉦ㅣ敦㡢㈶晡㈶戲㤵㙣摦㜸㜶㠷搵㌷㌵搳挷搹㌸搷户ㅡぢ㜸愶昲扥㠱摤戹昲㙥昵ㄹ挸㠳㈶㝤散敥愳㝥㜱㝢㙦㝡攲敥ㄷ扦昸㡤㙢㝥㌹昱愴扡捦㈱㌴㙤㌰戸㘵㤰敤捥挵〸愸㑦㠱㡤昳っ挲昵㡦晥㈰攲㝡㤶攰㔲〰捣ㄶ㈲㝦㑣ㄶ㐹㍢慡戸敤攰㠴愱㔳〴㘹〰挵扤㠶散㤳㉣〴摣㐷摤㠳晣愹〵搲㤳摣愷㌴昷㘴ㄶ搸愰㕥㠴愶戸㠳㘱㙦㙡㑡㑦㔳㕥㥡戲㔲户㈲攳㤶〲昸愸㐳㘸摡散搰㈴㕦挴㘸愹摢㕦戰挴㍡愳愵㍢戳㈱㥢慢㔸㈵㔹㤷㝡㌳昸戲㌷昶ㄲ敦攱㕡㕣㌲㔳昶㤶昹昰捣〴㤶㘳㜸ㄲ㉡昳㌵〳愵挹ㅣ戰㔷换晦㌰㝡づ㌹愳㐷㑣㥥㍡挳㘷ㄱ愳〲㑡搳㘰昶㉣捥散㔱㈲慥昷㉤愷㈸㔱愹〱攴㕣慦㘴攴㙦㥣㑦挵㕤㔲攵昷㉡㈱戹挳ぢㅢ㐳㔴昶㘶㈵㘵愲〵つ㡦晦㌰摢㕡戹㘶㙤戳慤〴挱改㌲〱㑤㌱㍤㐷戰ぢ㐰摤㡣挹㠸搳散㘳戰㤵㌸㔳摥㡥敦㤷㘴㍥摣㑤㥥㜹㠲慢〰㍣搳散搵㠸ㅡㅦ㈲㑥㘶㡦㍥㉥昹㐱愵攸㑢㤰㔹昷ㅡ〴昴戵〰摤㝢〰㌶㙦戲㜲戰晥摦㈹昷㙡愰て㜹㉥㙥慦㐰㜵戸㉡ㅦ㤹㥦㤹㉦愴戶㤷㡡〵昸愳㘹㐶㡤愵攰㥦㉣㉢搳挸㑦ㄷ㈷收㉡㐶㝥㔳ㄶ㕦摤昹昳慣㥤㤶㔹㤹挰敥づ㌶摡㌴㝣㐸㘲㠱㑤愵㜷晦晦戴搰㝣㌴愳戱㜱慥ㄹ㘹慡㜱攰摡戶㤲㈳摥㠱挹㈲㝣摤㤶㜸攴昷㈰愵㘱挰摡㍥〴㑤㌰㥦扥づ戵晢㥢㥦摦㝦摡㠹ㅦ㝦昸㙤攷晢㕡㈸愰㍣晡㜸㄰㥢ㄷ攱ㅢ㠱つ㉥㐶㔳㈷㠰愳扡〸ㅢ㌷㈳搶〶㌵戰ㄷ攲㌹㘴摤㜲㈱慥㌸㠴㈶㥦搶㉡愴ㄷ㑢攴ㄶ〴㔴〹㙣慤㉤㤱㡦㠲慣㙦㈵昸㜳〰捦㄰戹摤㡥慡ㄳ昱㉤㘳攲づ㌲晤〵㠰愲㠷㑢㉣㤱㍢ㄱ㜰ㅦ㤵㐵ㄹ㔵㑢㠴慥戱㘶㈱摣〳㙣㔰㉦㐲㔳昴㥢㔵㠵攰戱㐴㘶㥤㜶㌶㤹㘲ㅦ㜴〸㑤㉥戶㝥攴㈴〲昸ㄴ〲敡㘲戰戵ㄶ挰㝤㈰敢捦㄰㝣ㄶ挰㈳㠰捦摢㔱戵〶摦㈲㠰晢挹昴〰㠰愲㔷㑤〴昰㈰〲敥愳㘶㔰㐶㔵〰愷〰摤㉣㠰㐷㠰つ敡㐵㘸㡡扥扡㔶〲㤸㕡㐸〰㥢ㅣ㐲㤳㕢㉦㠲㥣挴㐳晡㈸慢昲ㄸ挱摦ㄱ㍣㑥昰㌵〰㌵敥〸㠵摥昰㑢昱戹戹㍡㜱㝥ㅤ㌱晤㈴挱㔳〰ㅥ愱㍣㡤愸昱つ㠰づ㙣㤴㉣ㅣ㔰㘱搶愴挷㔰〴昴㑤〴昴户〰㔴ㅣ愰てㅦ㥦㝥〶㘰挱愱ㄲ㈳㐷搳捥攳㌹㘰㠳㝡ㄱ㥡愲ㄷ戲㈶㈴づㄵ㝢㤸㥣扡㤰㤰〶ㅣ㐲㤳挳㜲ㄸ㘹㐵㑢扥㡢㠰㕡攳〸〴攱晡㐷㝦ㅦ㜱晤〳㠲ㄷ〰㍣〲昹愱ㅤ㔵㈳昸ㄶ㈱扣㐸愶㤷〰ㄴ㝤㤷愲㈵㍦㐲挰㝤搴㝢㔱㐶㔵㑢搶〲摤㉣㠰扤挰〶昵㈲㌴㜵㍡㌸㙡〲愸ㄹ散挷㉣㈴㠰愳ㅤ㐲㤳昳昴㑣攴㈴〲昸ㄹ〲敡挸〵〵戰て㘴晤㌲挱㉢〰ㅥ〱扣㙡㐷搵㈸扥㐵〰慦㈱愰㝦づ愰挶〱㐴〰慦㈳攰㍥慡挷㉢㠰㌱愰㥢〵昰㈶戰㐱扤〸㑤㑤㠰愳㤵〰摡ㄶㄲ㠰摦㈱㌴㝡㙦〳ㅢ㤰搳〱㜸摤扡㔸攱捣〵㔹敢㑡摡っ换㌲㌸晤㥢㤸㉢㔷㡡攲搳攸挹㑣ㄶ㌷ㄷ㉢㤳搹昲捥㥣㌹扦㈲攳〴㉥摣㙥ㄵ攰㜱㉣挱昱搸㠰㉢敥摣㘹愵㜵㘶愶㌸㔷㑡㔹㔳㤳㠷㠲㐷ㄲ敤㐳搷㠹㌳搲慦昰ㅣ㥣㤳つ换扥㠲㤶攰昱〵攸ㅡ㙢昴㤵㜸㡣敡摡晥㡤㝡搸㕢㤳攸戶㙣㈵㘷㜵㘵㠴㉥攱捥っ愴〸㌷㙥扡㈳戳㙤㍢㝣〸㤳㍤㤹㡤愵㙣㍡㤷㉤㔸散っ散〹㜹愴㍡㙤㕤〶㤷敤搶㘲ㄹ扢晢㘲愱㈷戳慤㘴ㄶ捡㍢改㝤㑡捤ㅦ㔶ㄷㄳ㈳㈹㤰ㄹ捦ㄶ捡㈸㐶㝡㤱攱摥捣捣昶攲㤵戸㈴㌰㤷㉦㙣㌴㜷㤶て㠹㕥㔱散ㄶ㜹愴㙢㤴㕦昹晤慡搳摦㜹戰晤㘳扣㡤捣㔶搸㠷㈵㝤搰搳㑡㈹㥢㥣愳挰愴っ㑥改敤〴搲㠷扥挰ㄴ㐲㡢散㡢戸㍢㜲ㅣ改㜴ㄲ戳慥㜵㈷㤷㉤晤㤵搵㥢ㄷ摣ㄱ㘹扡愲扡㘹㉢㥥戵昱晣愹摡昱挹ㅦ㜴㌷㈲㐰㔷㙣愳挹搹愸㜹㔵㙦昵ㄱ㘰㕥㘶慢㄰㜱搴㈸㡣㑣㘸〲㘳㡤㙡ㄹ捣〸て㌵㜴㔹㉤戸〱づ捦敥捣戴㤹戴㜲昰搳收捤捡㌲㍢挲㍤㈲捥捥换づ㙤愲㤸捦㥢㔴㌹慡敢㑣捡捣㔹㥤㤹戱戹㑡昱㥣㙣㐱㘷〰㐴㉦ㅤ㤴戹ㅢ㈸㜳户愰扡㌳攷昱晣㐶挲捣慢㜸㤹㔹捡㔶戶攷戳愹㑥㐶㜸挶㜲㐸攸㉡收て㌱晤㈱㔰㍥敥㕣搲戸攵戱㡤㝦㜴昷〰戶昷ㄴㅤ扢ㅦㅡ敤㔷〶晥搴㐱扡昷㌱昳挸㠲愲摢㤰㕢〰ㄶ㡤㑣㐵㔲㤱搷摣敢㐰慦㕤ぢ㥡㑣㑥㙡㥡っ昸㘸摥㄰㘲㠰㥦昶㜳〰ㄶ昵晤昲〰㌷㌸㕤㌴搳ㅢ攰㤱㉡㤶㍡㥣扢㍣㥤攸㕡㑥㌵愵㄰扤昱ㄳ㜰㈹攲攰㘸㔷㌶㙤㤵㍡㠹㤸挱㌶慥㥤㝥㝣挳敥㐳捡挶ㄷ〸㜴㜵戶㉡㙢捡捤㙢㤵攳攳昴㕥㕢㥡㙡捡晦攵㜳㠷捦㘴㙢㠳挱㌶㐰ㅤ㐰㍢戴挱㌶搱捦捦昶㌴㌰㜴㤰愱ㄳ㈰戰〵挴挶扥愹㜷㡣挳㝤慥挱搴㉥户㘰攸戲敦㠴㝢㕢㝣晤〱㘹㐸㤷挷㐷㙦搸敥昹㑥昷㙡㡤㌱〳㉤户搲㐱㝢㝥攵㈶㔶扡搹摦㡥慥㌶ㅡ㕤㠵㑤挵㈲戳晣㡣㈵捥㝢搵㠳㉡ㄸㅡ㌵㍥㤶㠳〵昹捦㌶㥥扤昳㉡㐹愳㌹ㄹっ敡㉥愴昱〵搵っ愰㉢〸㠳㤸㈰㝢㔱㜷㔳㄰㍤〰敡㘲㐴㘹づ㜸ㄶ㉦㐵㑦㉤ㄷ㌰㥦收㠴㈹㑦挳攴愸㘶㠱攵〴愹㝢㤹挹愵〸㜱摥愹敡攱㜲㘰㤷搶挳㈴㔳攰愳て㘳㈶㑥㐴愵㄰㜰慢散改摣ㄵ㘰搰㠷㤳㌱摤㥡攱〸㌲ㅣ㐹〶ぢっ散㘰攳㈸挴ㄶㄶㅣ敥戲戴㄰摣㌱㐸〳挱㘵㍤㠵㜸〴户㤲㠵ㅣぢ㄰㈸㠱㘱㤱㜹ㄶ摢㔸㡦〳㑦摣昴㤹昳ぢ搹ち愶㐰昶攴㠶㙣〵㥤搹㥤〱㐰㔰㍣㙤㉢㘵㙡昴㈴敡慦㥡㕣挷㌷㤳敡㙣戰攳㥡改㕥愳㙣㔵ぢ戲㙤慥㜹慣戴愵㤸挴㙣㙢㔱挷㐳挹㡥㔳戶晢挵㌱攵搴㠹ぢ晢㈹㍤㜲攷㔲晣〷㔸㝤挶扢愸㌰㍥晤㙥㝥㈹晣㘱昰ㅤ㠷㌰慤挰㌲㔰㡢敢㠸挷㙦㑢㉢㍢㐸㑢搰挶昵㌸〷〳㔳㠵㌲收搲愰ㄳ挳㑡戹捣〹㙥㤹慢搴㔱捣摤㉢ㅣち㡥㠲戶ㄴ㘰摦愴捣㔲晡㄰㔹ㅣ搱㌶摢㠶㤳㜵敥㈰敤㙢㘴挲挷戳愴㘱挷㜴扣㈳敢ち㈸〷攲昶敥〵㝦て挵㕤昵㠶㜷㌲挶慢㝥搲ぢ昶摤㍥搹散㙣戵戰㔳挱捤挷㥣戵㐲ㄲ㔴愳戲㄰攸捣㔸戲っ挳戹㐲慢挸〹挹㐸搷㤹昳㉣㕣晡挳扤つㄸ㌱㑥㘸㙢慡㠲㐳㥥㙡〶扣㤳㜱攸昴㄰㈴搲敥昴㤲㤲㝥㌲ㄶ㔱摥晡㐶㜰㄰ㅤ㘴慦愲晦㌲昲晣晢㤹敡㥥扢昹㝣晥㑣㥦ㅢ㜰戶㔳㜳挸㝥ㄱ㕢ㅣ㤳慤昷㡣㠲㈳㘹㠵㝢㜴㘶㑦㜱㌲㝢㜵扢㌸ㅡ散㍤摣㔸㤵㉡戸戸挴扢㠷扤ㅣ㍡㌹㔸㌴㤵㉣㙣搳摣晣戲捣㔴㈱㤵㥢㑢㕢㘲搸扡㤳戶搸户㠷㐴㝦挹摤㙥扢慦ㄶ㤱㡢㈳㤴㈹㕣昰㜶㉦戲ㅣ晣敥㔶昷愱愷㘴挵㐴ㅥ㐱晤ㅥ㘷摣敤㠲戰て昸㐰㈸㠸㐴㠷搵㡥㌳攵㉥㌱愶戶㈶ㄴ攷㌴扡昶慢㘷㑡㌲攲㍣㙣搳挵改㈲㜷挷ㅥ搴愶慣㡤㍡㈴晡〹敤戴㈷㍥挳㠰㜹㝦㤰㈳㠴㤹㘰搶㤳㉦摦㙢搷㍡摦㘷㜲㡤挱㉡愳㜸攲㘳㥢㙢挷ぢ〹ㅤ㐳㜳捤㕦摢换㉡㥥〷㠹戹戶ち㐴㜵ㄵ㘲戶戹㘶昷愷晥ㄳ㘰㤷㌶搷慥㐶㌲㌰晡昴㐹捣挴㠹㈸ㅥㅢ戹收ㅡ㠲愸㤳搸攲慢挱愰摦㐷㐶搶户〵挳挹㘴攸〷〸㕣〷㠶挶㠹㘶挱㐳ㄲ㘶ㅥ挸搳愴敥捣㜳㙢㠱㘱㙡攰搲つづ㠱㘰搸ㅡ㕤㥤㝢㐰搷㙢㤰敤㜷㥥㝦㝥ㅤ挲㍥㜵㈳㠰㕢㝥〰㘱挷〴㍥㠵攵て〰愸㕢㠰㙣㌴㠱㍦ち摣ㄲ㈶昰慤㘰ㄱ㤹㠶㤹挹㥦㈳㔶㘷〲㐷㠱㕤㕡愶户㈳ㄹㄸ㝤㍡挶㑣㥣㠸扡〳〱户捡戶昱㈹㌲㡤㠳㐱㈷挸昸ㄷ慤ㄹ〶挹㌰㐴㠶㍢挱㈰㈶昰㌰㘲㐷㉦戴㜷㘸㘵晦慥㐵〲搸扦昷㜸㑡攰つ㡦㘰㔰ㅣ㥤愷戱㠴搳㔹挲愷㠰㙣㤴ㅡ捦ㄵ㤶㤰摡㘷挰㈲㔲㍢㠳㤹㝣ㄶ戱㍡愹㡤〲扢戴搴㍥㡦㘴㘰昴改㌱㘶攲㐴搴晤〸戸㔲昳㙣ㅣ挶挱愰㈷挸昸㐰㙢㠶㐹㌲慣㈷挳㠳㘰㄰愹㙤㐰㙣攱㡤〳敥ㄸ户搸㌸㙣㐲ㅡ〸敥ㄱ㑦㈱㜶摦挹㡥㙢㡡㠵㥣挵㐲㜸㌴挱捤㠳㜱㌶ㄳ昸昴㌴扦ㅣ挳昱ㅣ㠴㌹愴ㅦ〳㡡挶愳晢搴㥢㍣㥢ㅤ㉥ㅥ㙤搰散愱〸㤶㕡㐲搵攳攰攳㌲㡡摢㔴㘰慦捤攳攷㍡㤹昱㜴㠴㜳戹晤㉣㍣摢㝣ㅤっ㜶ㅦ挷㠴ㄵ挹ㅢ㘷㥢㈷㐱㤰㍥㥥〱㔱㍤㠵㔸摤㙣㜳㍥戰㑢昷昱搳㐸〶㐶㥦扥㠰㤹㌸ㄱ挵攳ㄶ户㡦ㄱ㜴㘷㥢ぢ挱愰摦㑦挶㙦戵㘶戸㠸っㅦ㈰挳㌳㘰戸づㅦ晤愷㠸㔵㈷㠹攷㍣挹㍣㤳挴挵㑣㜶〹㤳㝤ㄷっ㡤敡晥㝤攰㤶㔰昷ㅦ㠰㐵㐴㌱换㑣㜸㡥㔲愷敥㈶戰㑢㡢㠲攷㉤㘰昴改㈴㌳㜱㈲敡㐵〴㕣㔱㜸搴㍤〵〶㥤㈶㈳て㘴㕡㌰㔸㘴挸㤰攱㐷㘰㄰㜵扦っ戱㠵搵ㅤ㔷搲㕢愸㝢ㄶ㘹愰敥㝢㍤㠵㜸搴晤㜲ㄶ戲㠳㠵晣っっ㡤㠲摢〷摣ㄲ㠲㝢ㄹ㉣㈲戸㍣㌳㜹〵戱㍡挱ㄵ㠱㕤㕡㜰慦㈲ㄹㄸ㝤㝡㈷㌳㜱㈲㡡㠷㌵㉤攴㜲〵ㄸ㜴㠹㡣㍣挸㘹挱㔰㈶〳ㅤ扤敡㜵㌰㠸攰收㄰㕢㔸㜰戸㑢摦㐲㜰㔷㈲つ〴昷愶愷㄰㡦攰㜶戳㤰㜹ㄶ挲ち㤳㔵㕦攵〴ㄸ〹搰挳搷攸戸㙡㜲㉡搲ㄳ㠹ㅤ㈳摣㡢㌳㤵昹ㅣ㕣扡っ搲㤱㘵㠷戸㙥摡㘴戸搷㡡愵㜶㙣㥢ㅢ㙦攷㔴搳慥㐷㔶㕤㠷㌷㕣戹㤶㘴愴搰慤ㄵ昸㑦扦㙦扥㔶㕣㑤捦㑡搷敥㕦㌲つㅦ攳㙡攰て㍦㈷㥢㉡ㄵ换挵㑣愵㙦〶挷ㄵ㝤扣挲㥥㠱㌱㌹ㄶ戸〱㌹戶㉣㤳つ㙢㉦昰愵戳㕤扣搲ㄹ摣㔱㈸㕥㔹㤰摡〴捡扣挹捦搲㜴㐷〷㡢〹攲㈳捦㝢㈱挵㄰摡㈸扥〱㝤つ〲㍤㙤㈱扡ち㌹㘸っ㝡㐵㑦㥣ㄸ㥦㌸㙦搶㡣つ挵㤳昱㘴挲㑣っ㕢昱㔴㈶㌱㤲ㄸ㡣愶㠷捣㤱攸昰昰搰㐸㌸㥤㌰昶㔴㔹慤㔸㌲㤱㡥㐵㔳㔱扣慦ㄲ户搲攱攱㜸㈴ㅥ㐹㈷攳搶㔰㘴㜰㌰ㅣ㑤㠷攸㠴㘴昶晡㍡〴昴昵〰㈱晡ㅥ〵㜵〳㔱㌷ㄲ㐵㑦愴愰挸㈰慣〱扡敤昶搷㐱㐸㘱愸愴㑡愹戴戲摡㍢㍡㥡摣ㅤ㑤㡥㐵扡昷攵㤲慦㘱昴㈰㙤㘰ㅥ㘲㙥昴㤱戴㑥㠴㕡㜹㝡㤱㠹挵㈰戹㠹昵扥ㄹ㈰ㄸ愲㐷㤱ㄵ㌲晥㌳〲换㈶挶㘷㍤攷㈳挶㝦〱慥ㅢ㌸戱摥捦挳挵㝥攳捦㠰㔹づ㑣晤㡢㠵挶㉤㐰ㅦ〶㌴㙥慥扡㜷㔹愹戶愱ㅥ攰㤹㝢敤扤㍡㝤㉢㔰昶〹戸戸㈰㐹扣つ㈸晣摢ㅦ扡㈰㌹㔸㔴ㅥ慤愴㡡㠲攰搳搴㍢慡㤸摡〱っ搵慣㕥㑤攸㠸㤴㜲敥㐴〰㙡㐲愷愳愸挹挷㄰戰搵㈴ㄹㅥ挴㥢㍣改㜰㜸㌸㠵㤷㤵〶愳收㘰㈲㥤㐸て愶ㄳ㌱㌳ㅡㅢ㑣㈶㡤扢慡慣ㄱ㉢㥡㠹㈶㉣换㌴〷㠷攲㠳㐳㠳㈳搱㘴㌸㘱㈶㐷㠶ㄳ挹㘸㍡㌲ㅣぢ搱㥤㈹ち㜰㌷〲晡ㅥ㠰㄰扤㤸つ㙡㐲㥦㘶㍤㤷愲㤳㤲慡愲㑣㌴㠱摤㈸摤㜱㉦㌰晡ㄳ〰挱搰㑡㐰㘹〸扢㐳㔳晥㥡㈲搷ㄴ㜰㠸晥㑢㈱搲戰㤳户晤昴攷㐸扣〸搱〰晤㔸㡤㑡攱㌹㍦昲㌸捥㘸搷㠴㍣摥㑣㔱慦攵㤹㜳攷捣ㅣ㕥ㄲ摤㠲ㅤ㜵㠵愸㐳㘱ㅦ搶㙥晢㌵㤶ㅣ㔹搲㠴㍦扤㠴ち摥㈸㠳晡㠱攱戴㑤㐶搳挱敤敡㠲㠱ぢ搰㙦晢㔷ち扡愴挵昰ぢ敡〷㐰愰戹㐸㝦㈳㜹昴㠳㠴捥愳攸ㄹ㙢挲〶晡㠰摡㝦㤷〱搳慦挰〴敢扣㍢捥攳戶晥ㅣ扣㈷晢㜱扡昹㄰㡢㝦て〱昲愸慦搹㉡ㄷ晢戰ㄳ愰㌶㉡敥㐲㘵挴㙥㠵㘰摣ㄱ㙢㝣ㄱ搸〵㔷ち戵ㄹ慣捤挳㤸ㅢ㔴㔱昰㉦㈱㠰㘱扣ㅡ㕦㝣㐲摣㤰㑡攰㘴㌷搰敦〴㝡搷㈰挰挹㠰㙢昱㍢晡㠴㑥㐱捥㌲㍥敢挷㘲㠸㥢㑦挱换㡤㈵摥挳搴㡦〲愵㘴㍦挹搸㘳㡣㈱㈰ㅦ敥㈷㐵㍡敢㍤搲愹捤㘷ㄳ㉤〵ㄱ㐳㈲ㄱ挴ㄳ〸㐰㄰摣㐱捡㝣昶㜵〴散昹㉣㌵㘲つ㈷挲挳〹㌳㥤っ挷捤昸㠸㌹㤴㠸㐴㌳㤱戸㤹ㄸ㡡愵㠶㠷愲挶㤳㔵㔶扣昴ㅣㅢ㌴挳㈳搸㙢挴攲改㘴挴㑣㡣愴挲㘶㝡㌰ㅥㅥ㑡㘱㍥㑢㠷戸㌷㤵㤹敡㈹〴昴㝦〵〸㜱㑢摡㌰㥦㜱㠳㕡捦愵搶〲㈵昳搹〸㥡㔱㥤捦㥥〵㔶㝦ㅢ㈰ㄸ攲扥㔳ㅡ挲〹㑣㌷〸㤲晢㔱㈱㜲〲慢扤慢慡晦ㅥ㜸㈵晢㑣攲晦㠱㌱㔷㥡愳〸㠹㌴㑦㘹㈹捤晥㤶搲ㅣ㐳㈲㈹攷〷〸㐰㥡攳昸ㄲ㘹扥㠰㠰㉤㑤晣愲㐱㍡㌱㘴㐶ㄳㄹ㙢㌸ㅥ㑢つ㡥㐰㐲昱㘱㌳㘳㈵㌲㠹㤸ㄵ㑢ㄸ晦戳捡㥡㠸愵㠷㑤㠰㔴㌸㘹挵㘳挳㐳挹㜰ㄸㄶ㐷㜲搸挲㍡㘲㐶ㄲ攱搰㠴㤳扤晥㈱〲晡㐵㠰搰愴㡢扡㠱㈸㌱㈲戸㜱ㄵ㘹㔶戹搴㈶愰㐴㥡㈷㜸愵戹㤷㐹㝥っ㄰っ㑤〱㑡㐳敡〵㘹慦づ㘷戹挴㝥㑡㙤つ挱㑦㤹㤴挲㔵搳〸㜱㠵〸慡㈳㤱㌷㘷㌰㙡㜰㔰敦㈳づ㌳搱㌹昸挶㝦挳㜸攷㠶戵ㄹ换㝤㘸ㅦ㍥晡ㄵ㤲捦㈵㘸㑡㌹攳㘲㕦㜵〲㉣㑥㜱〷㈹扤ㄷ㐲〵摣㤹㐲㜳愶㤰戵㝤ㄹ戰捤㤳挲〵㈰㑢愳摦㐰〰扤㜷愱戰㐳愸摣㌷昲〹㕤攴〶㍥攰〴㝡戹㐷晣攳㑣ち摣㔹戶㥡ㄴ戸搹ㄴ㝣〴㌵㤲ㄷ㤳昵慦㠱㔲戲㝦㈴敡㌷㡣㈱㈰ㅦㄳ㔰〴ㄱ昰ち愲㙡攴戴戵ㄴ㐴ㄲ㠹㐴㄰扦㐷〰㠲㐸攱㑢搴昸㙤〴㙣㌵ㅥ㡣つ㐵㤲改㐸㌲㤵㑥㈶攳㈳㘱㙢㌸㙡㤹戱㜸㈶ㄱㅥ㑡㐷㈳㠳戱㘱㠳〹㙣㔶捣ㅢ愹㐸㌸ㅥ㡤㈶ㄲ挹㜸㌸ㅥ㌶㔳搱愸ㄹ㡥㡦㈴捣㜰捣㑡㈴㘲愱戴㤳扤㔶㐸愳晤〰㈱摡改㉣㔱搷搴㤸ㅢ㔲㐱㤱㐱㔸㔵ㄶ㈸㔱攳㕦晦捥㌳㈹㜴㤲捥㕦㈶〹㠶㉥〷挳㠲㙡扣挳㈵昲扡愳扣㜱慤昹ㄳ㈶戶ㅡ攷㐱挴㍦㑥㥥㠱㘲㐰㍥㐵㐰㤱收㉢㈸戰慡㔶㔵㘹敥〳戶㔹慤戸戵㤴㑡ㅣ㠹慣㈰捤㉢㄰㐷〸㠷捦㠰㡥㌴㠷攲搱昰搰㘰挴㑣挶㌲昱㔸㈴㌳㤲㡥㡦愴㘳ㄱ捣戹ㄱ㌳㥥㠸㈴㡤愳慢慣攱㤱㜴搴㑣㔹㤱㜴㉣㥣㠸てづ㐷㌰㈹㤸挳㠹戴㌹ㅣ㡤愵㠶〶攳戱㔰挹挹㕥ㅦ㠳㌴㝡㈵㐰愸散愲㙡搲攴㉥ㄵ㈴㥢㐱㔸搵㤵㐰㠹㌴㝦散㤵㘶ㅦ㜳㌹〱㈰ㄸ攲捥㜳㐱㘹捥扢挴㌳㤹敢㈸挱㙡㈶攵愴㄰扡捡㈵㥥っ㔴㑦㕢攰ㅡ挴㑦㕢昸散搵戳㌳攸挷〹㐵摤扢挶敢昱敥昰㍣㜲昱戵攱捡㠸㝤搱愲摤扦昶攰昲愲㌱搷㡤慣昸〹㝣ㅦ慤晥〳昲㐱㡢㍣ㄶㄸ㜳㍣ㅥㅦ扤〶㔵つ㕣〷㘲换ㄳ㤰挶ㅦ扢昰晥㤴〹捤㡣㈳昲㔳㘵散㠶昰㤶挵戶攲㔸昵昷㔴㤶扢扢愴㝥昷ㄵ搸ㄳ㙢ㄸ昷㠰搱㑤戶愵㔴㑤㠷㔷㑡戱㈵〶愱㥦㉦捣ㅥ㔱㡢㜹㉥慡ㅣ㕢挳攲㕣ㄹ愷㕤㔶摡捤戱㡣捤㝣扢扦慤改㜵〵戱晤㥤㕦㑥攱捤ㄴ收㠶搷扢愷搲扣搳㜰㙣㡢㙢㍡攳搹㡡㕣㜳敢〲㕤改㙢㈱ㅣ㘳㠰㘲㕡户㙡㘲搵㔰攰敦搱て㡤捥晥〵㡢愸㤷㍡ぢ戴㔷㥢㌰昲㔳搷㠳㑡搱㉢扤㠷㘵㐴敤㌲挶㔷つ愹敦愰っ㤶〳っ㤶愶㌸㤹㌹㌴㕣㤴攲扡挹〸㌳敢扤〹㤱〰〲つ㜶摦㙢㔴㜴㍥愳〲㝤㥤捥㜷㘸戴昷㘶㌷挵㈵敡㠴摢挶〲㝢慦㙤扣敢扤昲戹ㅤ慢ㅦ㕥户㙦昴攱㑦㍣晥攱搷㥦晢昲愸攲㕥戵搵捤摤㘷㔱㠹㤶慦㌸㍣攳㄰ㅡ㕦戶っ摤㠶㥣㘴㤰慥㐵慢㝡摡搴㥤㠸㜳戸愹㙦㈲〵㜵㕣搴昲㜴㌶昹㙥愰㙤昹㝣っ㈱攳っ攰㡣㜵慢挶㔷㐵愲敡㈹㌰扡搲〸敡㔱㜲摦㔳攵收晥搵ㄸ户戹㈷挸晤㌵㠷摢㤶晤㈴㈸扤昷㠲攷挰㠴昶〹㌷挵㐲㐲愳㤸㉦㑤晣㐶挴扣攷㔷摦ㄸ㔵㥦㐳㡡㔶㐲晢㉡慡搳㔲㘸㕦㜱〸㡤㉦㘸慡〷㤰ㄳ晥攱㝦㐷摤搹ち㝥㐲敥㕥㐹㍤攴㤲慢ㄸ㤲戹㌵ㄱ㐹㑦㈳ㄱ㈴晤㈵挴㐵搲㕦㐲㌱㔵㐹㙦〶㔱㍤ち㔲慤愶㌷戳㈴㌱㤶扥戰㔰㑤ㅦ㜲〸㡤㙦戰㠴ㅥ㜳ぢ摤㘶ㄷ晡㠴㕢攸〳摥㐲㉦㘰愱㑦㠱㘴㜷㉦㙤㜹攳晤挰㘱㠸㡤慦㑡愸捦㠲户搶扢ㅦ㈰㌳㑤㜱㥢昹㐹㌲㕦㙣㌳㑦㠰昹㔳づ戳摤戹ㅦ〴愱昷㔹戰ㅣ㔸攷搲㐶㤷ㄴ㡢㜵慥敦昲户㐶㈱ㅡ㥦敦愶愷㐷ㄵ㑤昳㥡挸㙡㤷昹晦摡㤱㑣搳㍢㉦ㅦ㜷〸㡤敦扣㠴㘸搶㑢㍦愵㔱㜷昴ㄳ㙤㜳改愷扦㐴㡡㙡㍦㘵㈸㠵ㅦ㠲㘴㑢㠱〶扢戱摤㤶挲昸慡㐱昵㌱㐷ち挰㘰挶戸㥣捣㉦㔶㤹㘹戲ㅢ㌹㥢㜹〲捣户㍢捣戶挸ち㈰昴敥〵换㠱㠹散挷㙥㡡㠵㐴昶挱㠹昹㥥㝦昹攴㉦㐶晦㈵㜱挷ぢ㕢慦㝦㜲㔴搱〸㙦㈵戲㡦㌸㤲㘹ㄲ搹㉤づ愱改㉤㤹㝤挸〹晦㜰㘶愳敥敥㜸㔰㘲㠵ㄳ㕢㌷っ㘸㜷㡢㜸㜷㠱ㄷ攲愵昱㉣攲扤ㄹ戹㔷挵扢ㅢ㐴昵㙢㤰㙡ㄵ慣つ㠳ㅢㄷ慡攰つづ愱昱つ㤵搰㙦摣㐲慦戱ぢ晤扤㕢攸㜵摥㐲昷戰㔰ㅡ㤵㜶㥦搲㝡㌵慥㐷ㄴ戳ㅣ收慤㤸晡㄰㤸摤㘹㍥愸㙦㈴㌷㡤㑢㥢摢㐷挶て摢摣㤸ㄳ㘳㙡摥攱〶ち㉡㜰ㄳ扥㝡㘹㙡ㅥ㔸慦搲㉥㕤㜲㈰㠴㑦㝡㜳㌴㠶攷㡤慦㍥㌵慡㘸㤳搶㠴㔶ㅢ〸ㄵ㐷㌶㑤扤㕡㜶〸㡤㙦戵㠴㘸捡㑡㑦㝤〴〱昴ㄴ敤㔱改愹㉢㤰愲摡㔳户〲慢㘸㍢摡㘲愰㤱㙡摣㐶㈰㐲㡢慢扣㈳〶㕢戹敦㈰㌷㡤㑣㥢㥢㜶慡㜱愷捤つ愱挵㔵搶攱〶ち㐲扢ぢ㕦扤㝤〰〷㈶㌴㥡㥦㡢ちつ慦戱扣㝤收ㄹ慦㡣愲㄰㥦捦晡捡愸愲改搹㑡㘸㘹㐷㌶㑤㐲㑢㌹㠴愶㌷㘱㘸戱㉥昵㈶㡣攷㈷㝦㝡㔱㠱㐰㠶㉥改慥㡣㡤愶㤱㈹㤷昳㜲昰㤲ㄵ㑢摤戸戸㕥挲㡦敥㑣攳晤っ㕣㔷挷㘵㕤挷挳㡤昷㌶㜸㘹挱扤ㅡ慤㈵挶挴㐶㘶㑢〹㜷愵㍢㌲㔳㘵㕣㍦㑢㜷攲㐷㐳㉡昸㍤㠰挲愱攰㌶挵挱㔰㍢〴㠴挷扥捦摥昲㑣㘶㍤挸㉤㉤㍡戹搵㍡㔰㤳㠷㝢〵挹捦晢敥〷攷㌴㌵晥ㅡ搵㜱摦攰㐸㝢摥攰㘸㔷㈶扡搸摥㥤敤昱扤㉤㜵挶㄰搷昷㠲㕦㕥愹㤴〹て㈰愸㍦㐹ㄴ捦攵〴昸〲戴攱ㅢㅢ挶ㄳ戲つ挰晢ㅡ㝥つ愷慢㡢慤㜵㥦㜶摡愱㡢㤹挰ㅣ㐴ㅤ昹㔹㤳扦户搹㤹㥦捤㔹㠵换㉡摢慢扦戱〹晦㌹㕥昶搵㥦㐶㈶㉣㡡ㅦ㐵㘳㤵戹敡晢〰㠸攱㐷搱搸愳愶㙡㌶扦㕤㕤搴戲愹㥦㈳〳㈷㤰㕡㔳敦㈷慡搶㔴㐵扢㤰捤㜵ㅦ㌵㡡㠸ㄴ昷㈰〲㈴昰愳㈶㕤散㐳ㅥ㙣攸㉣㐴㘴㝥昹〲〲晡㘱㠲㐷〰㠲㙡ㅡ㤰戵㌳扥〸搰敢晥愲㕦摦㉥㙥㐷捡㝥戵搹慤敤扥攸㌱戵㡥昹ㄲ㜸㌵搷〸㑥攰慣㜲㔰㝦㤹㈸㑦㙤㘹㕢戱戶摢敥㝥㙣昴㜷戱㑢挶ㄴ㡤㈲㡦ㄸ㌶戹ㄹ晢扣㍤晥㈸㜳愹ㄷ挳摦ㄱ攵挹㤸昶㔳㥤ㄸ㘸㈳㠹ㄸ扥㠶〰晥㙤㌱搰ㄸㄲ散ㄳ㕥㙣ㅡㄱ㑦㈵㐶㕢㔶攲㈹㌰㌵㔴攲㘹愲㍣㤵愰㐵㔲㔷㠹换㠱㤰攲扥㠹〰晥敤㑡搰扣㄰散户㍣搸㄰ㄷ㙥改㡢㘷㄰搰捦ㄲ㝣ㅢ㈰愸戸㑡㑢敤搸ㄷ㝥㤵㜰㙢㔷㈷晢攷挹㕦㉦晢晦㐶㤴愷㜶㕣搰敢㘴㝦つ㄰㥥㘶㥦敡㘶㕣㈷晢㝦㘰㉥昵戲晦㕥㐳挶㝢㥣㡣搹改㝣搴㡤㐰㐸〳㝦㠰〰晥敤㘶摦攴㘲㕦昰㘲㍦㠲㠸愷ㄲ㈷戵慣挴㡢㘰㙡愸挴㡦㠸昲戴敥㔶挴敢㘴㝦〷㄰㔲㠹㝦㐴〰晦㜶㈵戸㥥〹昶㥦㍣搸挰扤㠸散昷㝣〷㥢攴㘰捦㑦昶愲ㅣ挵挹㡡㜹攸ㅦ㍢〱㐶㝡㌹㘵㌰搰挹〹愶㤷㔳㐵㌵愶㌸つ戰㡡晡㈷㐴摦敦搰昴晦㜶〲㤲晥㐱㈷㘲愷攷㈸慦愵晦〲㘲㘲㌶扣ぢ搲愵搹㜰㍡ぢ昲ㅢ㡡㈳㕥〸挷㍡〴㕥慦敢挴捤昹㐷㕣挲㑡㠷挰慤戳晥㌷收捡㔱㉥㤵昹㈹㘳ㅣ攰㉣㐸晦っ〱晣换㐷㜱挰ち捦晦㈱㤹㘳㔵㜸昶㌹〱愹㌰挷㘵戵㡡扤ㅣ㡦搵㤸攲㔸㤳昴㉦ㄳ捤㘱㈶改㕦㜱〲㤲㥥㐳慡㥡愲㤷㐳愹ㅡ㔳ㅣ㐲搲慥挳ㅡㅡ捣㘱㈵㠴攵つつ收㔰ㄳ㐲挸摢攰㥦㌳搷攷〱愴㌲慦㌳挶㔱㈵㤵㜹挳〹㌰愲㌸㑡㠴攷ㄷ挴㜲㠰〸捦㉦㍤㍣扤ㅣっ搵㉡昶㜲㄰㔴㘳㡡ち㉥改摦㈴㥡扡㉤改㝦攵〴ㄸ改愵ㅥ㔷㔳昴㔲㝦慢㌱戵搷㑤攱ㅡ晡㐸攰ぢ㔱挱㘴㑡昹㌵〲㌰ㅦ㐵㝤㐰愸㙥〷㠴㡢㙡㈴㕣晦㔷戸㝡搹换ㄷ㠲攲摦慤㔲㤷愶㉦扤昴慤摥昶扥㤵敤敦ㅦ敤扥㝢敦㜳㍦戹敤㝢ㄷ慦晢户摦晥搵㕦㝤敦㥦㙦㝢晥户㡦㈷搷㍤昳挹㑦㝥攳慣扦㜹晥㈷㠷㘵敥昵晦敤㕢搳昷㕥ㅤ搹㜱昵ㄵ㤹昳㑦摥㜸昵㐵㤷㥦ㅢ搹扡扣扦慤慤愳攳愴ㄵ捦ㅥ扤㍡戴攷㡡慦慡愷㝥㜸㔴㐱㠹攲戰ㅡ扦㐵㐹昸户昷敥㔴㈰愹挶敦㄰搰扦〷攸昱㉢搱ㅦ戲搶戵㡢㝡㈴慣㑣㠹㜶㠹㤶㌴㜱㔱㕢㠴换㉦㕣扤散捣㍦㙡扢㐴㍦㔸つ扣つ㈷てち昴㠵愸㈷㔲㡤㜶扢戲愲㈱攴慡㙢ㄲ㌵㐵戸っ㥢㑢昴愰㠹㡢晡㈰㕣ㅣ攵㘸㌸晢㔵戴昶㔷扦戵〷昶㌸㤲㜴攲㥡ㄱ扢㔲〸㙦搶ㄳ㐲ㄴ戹攴搰㠵ㅣ㜴㌷戳昱㉢㑡㕣戸摦愸攷㔶散〵㈱扣敥㄰昸㙡戳敥㐵㉡晣捥愳㐳㝡慤㈱つ愵㉤㘹㕥慤㈷㠴㈸ㄵㄶ摤㠳㕦㤵㜶㜹晥扤㥥㐷戱昵㤲昸㤵〶〲ㅢ㉣㠴㤷敢〹〱戶㘳㤱户戲㙢愶㙡㈷慢㥥攷摢ㄹ㌴㕡㠳昹昵㠵㌹晢〷晥㡣㍣摦㡥㉤㉣㜷㙥搶昷㔷㜹づ慢㘲慡扣换慡㈸㐹㜳㡣晤㙥㈳㝦慤㤰㉣晤戵㑣㡦㘸愴〸㍦㥡㑦〹昸摥戳戰昷摢慤㈰晤搱㥤㙡扦ㄹ㍢敤ㅦㄷ㍡〲搲攰愳㜴㌵㈴㔱挵㥥㤶㉥㍦ㄲ〱捥ㅢ㑡㔷㐳ㄲ㔵散㔵㤹㠲㡥㐲㈰挰攴晢㔱㌸㤳ㅥ攴㕤㠲愳㔹ㄱ搶㠱㐵改㘳ㄸ㘳挹捣戱㍡㌴愴㘶挲攸挵㈲㡣晤㙥㈳㉦戱㕤晦て㤴㘲㙡㐹</t>
  </si>
  <si>
    <t xml:space="preserve">   Annual Pass Demand Curves</t>
  </si>
  <si>
    <t>Std Dev of Demand</t>
  </si>
  <si>
    <t>Instructions:</t>
  </si>
  <si>
    <t>2 - Set cell B19 "Model" equal to the relevant Simulated Demand cell on "Demand"</t>
  </si>
  <si>
    <t>1 - Select a scenario from the "Demand" tab</t>
  </si>
  <si>
    <t>3 - Enter the annual membership price for the scenario in cell B24 "Model"</t>
  </si>
  <si>
    <t>4 - Run the Crystal Ball simulation on "Demand"</t>
  </si>
  <si>
    <t>Scenarios 1-3: No Tax Break</t>
  </si>
  <si>
    <t>Scenarios 4-6: Tax Break</t>
  </si>
  <si>
    <t>Chance</t>
  </si>
  <si>
    <t>Name</t>
  </si>
  <si>
    <t>Ptree1 Compatibility</t>
  </si>
  <si>
    <t>Output Label</t>
  </si>
  <si>
    <t/>
  </si>
  <si>
    <t>R-Value Ref.</t>
  </si>
  <si>
    <t>SheetRef</t>
  </si>
  <si>
    <t>Eval. Function</t>
  </si>
  <si>
    <t>GenInfo</t>
  </si>
  <si>
    <t>0,2,1,0,0,Exponential, 0,0,-1,0,-1,-1,.0001</t>
  </si>
  <si>
    <t>Creation Version</t>
  </si>
  <si>
    <t>6.2.1</t>
  </si>
  <si>
    <t>Output Value NF</t>
  </si>
  <si>
    <t>&lt;NF&gt;</t>
  </si>
  <si>
    <t>Def. Link</t>
  </si>
  <si>
    <t>=</t>
  </si>
  <si>
    <t>Required Version</t>
  </si>
  <si>
    <t>5.0.0</t>
  </si>
  <si>
    <t>Output Prob NF</t>
  </si>
  <si>
    <t>Automatic</t>
  </si>
  <si>
    <t>EXT REFS</t>
  </si>
  <si>
    <t>Recommended Version</t>
  </si>
  <si>
    <t>Input Value NF</t>
  </si>
  <si>
    <t>Def. Form</t>
  </si>
  <si>
    <t>Last Modified By Version</t>
  </si>
  <si>
    <t>Input Prob NF</t>
  </si>
  <si>
    <t>Calc Macro</t>
  </si>
  <si>
    <t>Highest#</t>
  </si>
  <si>
    <t>Anchor Cell</t>
  </si>
  <si>
    <t>Branch Name</t>
  </si>
  <si>
    <t>bformtype</t>
  </si>
  <si>
    <t>valformula</t>
  </si>
  <si>
    <t>pbformula</t>
  </si>
  <si>
    <t>distribution</t>
  </si>
  <si>
    <t>cumPayoffFunction</t>
  </si>
  <si>
    <t>link</t>
  </si>
  <si>
    <t>ENDNODEFORMULA</t>
  </si>
  <si>
    <t>VAL</t>
  </si>
  <si>
    <t>PB</t>
  </si>
  <si>
    <t>IntRefs</t>
  </si>
  <si>
    <t>RefRefs</t>
  </si>
  <si>
    <t>NodeNames</t>
  </si>
  <si>
    <t>Collapsed</t>
  </si>
  <si>
    <t>DEFAULT</t>
  </si>
  <si>
    <t>0</t>
  </si>
  <si>
    <t>Tax Break</t>
  </si>
  <si>
    <t>No Tax Break</t>
  </si>
  <si>
    <t>4,0,0,0,3,0,0</t>
  </si>
  <si>
    <t>0,1,1,0,0,Exponential, 0,0,-1,0,-1,-1,.0001</t>
  </si>
  <si>
    <t>Membership Fee Increase</t>
  </si>
  <si>
    <t>4,0,0,0,9,0,0</t>
  </si>
  <si>
    <t>Tax Break - 20% Prob</t>
  </si>
  <si>
    <t>Tax Break Probabilities</t>
  </si>
  <si>
    <t>Tax Break - 30%</t>
  </si>
  <si>
    <t>New Membership Fee - $165</t>
  </si>
  <si>
    <t>New Membership Fee - $235</t>
  </si>
  <si>
    <t>4,0,0,0,16,0,0</t>
  </si>
  <si>
    <t>Fee</t>
  </si>
  <si>
    <t>Tax Break Prob</t>
  </si>
  <si>
    <t>Expected Firm Value</t>
  </si>
  <si>
    <t>NTB Prob</t>
  </si>
  <si>
    <t>No Change, Membership Fee - $95</t>
  </si>
  <si>
    <t>1,0,0,2,4,5,2,0,0</t>
  </si>
  <si>
    <t>1,0,0,2,7,8,2,0,0</t>
  </si>
  <si>
    <t>4,0,0,0,6,0,0</t>
  </si>
  <si>
    <t>1,0,0,2,10,11,2,0,0</t>
  </si>
  <si>
    <t>3,0,0,3,13,16,19,1,0,0</t>
  </si>
  <si>
    <t>1,0,0,2,14,15,12,0,0</t>
  </si>
  <si>
    <t>4,0,0,0,13,0,0</t>
  </si>
  <si>
    <t>1,0,0,2,17,18,12,0,0</t>
  </si>
  <si>
    <t>1,0,0,2,20,21,12,0,0</t>
  </si>
  <si>
    <t>4,0,0,0,19,0,0</t>
  </si>
  <si>
    <t>1,0,0,2,24,25,22,0,0</t>
  </si>
  <si>
    <t>4,0,0,0,23,0,0</t>
  </si>
  <si>
    <t>4,0,0,0,26,0,0</t>
  </si>
  <si>
    <t>1,0,0,2,30,31,22,0,0</t>
  </si>
  <si>
    <t>4,0,0,0,29,0,0</t>
  </si>
  <si>
    <t>`</t>
  </si>
  <si>
    <t>FV-NTB</t>
  </si>
  <si>
    <t>FV-TB</t>
  </si>
  <si>
    <t>New Firm Value</t>
  </si>
  <si>
    <t>3,0,1,3,3,6,9,1,0,0</t>
  </si>
  <si>
    <t>Tax Break - 30% Prob</t>
  </si>
  <si>
    <t>2,0,0,3,2,12,22,0,0,0</t>
  </si>
  <si>
    <t>3,-1,0,3,23,29,26,1,0,0</t>
  </si>
  <si>
    <t>1,-1,0,2,27,28,22,0,0</t>
  </si>
  <si>
    <t>2,0,0,2,2,22,0,0,0</t>
  </si>
  <si>
    <t>Firm Value 1</t>
  </si>
  <si>
    <t>3,0,0,2,26,29,1,0,0</t>
  </si>
  <si>
    <t>3,-1,1,2,6,9,1,0,0</t>
  </si>
  <si>
    <t>1,-1,0,2,7,8,2,0,0</t>
  </si>
  <si>
    <t>Annual Membership Fee</t>
  </si>
  <si>
    <t>Tax Break Prob.</t>
  </si>
  <si>
    <t>Firm Value - Tax Break</t>
  </si>
  <si>
    <t>Firm Value - No Tax Break</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</si>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</sst>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_);[Red]\(&quot;$&quot;#,##0\)"/>
    <numFmt numFmtId="43" formatCode="_(* #,##0.00_);_(* \(#,##0.00\);_(* &quot;-&quot;??_);_(@_)"/>
    <numFmt numFmtId="164" formatCode="_(* #,##0_);_(* \(#,##0\);_(* &quot;-&quot;??_);_(@_)"/>
    <numFmt numFmtId="165" formatCode="_(* #,##0.0000_);_(* \(#,##0.0000\);_(* &quot;-&quot;??_);_(@_)"/>
    <numFmt numFmtId="166" formatCode="_(* #,##0_);_(* \(#,##0\);_(* &quot;-&quot;?_);_(@_)"/>
    <numFmt numFmtId="167" formatCode="0.0%"/>
    <numFmt numFmtId="168" formatCode="##.00\x"/>
    <numFmt numFmtId="169" formatCode="#,##0.0000_);[Red]\(#,##0.0000\)"/>
    <numFmt numFmtId="170" formatCode="[&gt;0.00001]0.0###%;[=0]0.0%;0.00E+00"/>
  </numFmts>
  <fonts count="2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color rgb="FF008000"/>
      <name val="Arial"/>
      <family val="2"/>
    </font>
    <font>
      <i/>
      <sz val="10"/>
      <color rgb="FF008000"/>
      <name val="Arial"/>
      <family val="2"/>
    </font>
    <font>
      <i/>
      <sz val="10"/>
      <color theme="1"/>
      <name val="Arial"/>
      <family val="2"/>
    </font>
    <font>
      <sz val="10"/>
      <name val="Arial"/>
      <family val="2"/>
    </font>
    <font>
      <u/>
      <sz val="10"/>
      <color theme="1"/>
      <name val="Arial"/>
      <family val="2"/>
    </font>
    <font>
      <i/>
      <sz val="10"/>
      <name val="Arial"/>
      <family val="2"/>
    </font>
    <font>
      <b/>
      <sz val="10"/>
      <color theme="0"/>
      <name val="Arial"/>
      <family val="2"/>
    </font>
    <font>
      <sz val="8"/>
      <color theme="1"/>
      <name val="Calibri"/>
      <family val="2"/>
      <scheme val="minor"/>
    </font>
    <font>
      <b/>
      <sz val="8"/>
      <color rgb="FF000080"/>
      <name val="Calibri"/>
      <family val="2"/>
      <scheme val="minor"/>
    </font>
    <font>
      <sz val="8"/>
      <color rgb="FF000000"/>
      <name val="Calibri"/>
      <family val="2"/>
      <scheme val="minor"/>
    </font>
    <font>
      <b/>
      <sz val="8"/>
      <color rgb="FF008000"/>
      <name val="Calibri"/>
      <family val="2"/>
      <scheme val="minor"/>
    </font>
    <font>
      <sz val="8"/>
      <color rgb="FF800000"/>
      <name val="Calibri"/>
      <family val="2"/>
      <scheme val="minor"/>
    </font>
    <font>
      <b/>
      <sz val="8"/>
      <color rgb="FF800000"/>
      <name val="Calibri"/>
      <family val="2"/>
      <scheme val="minor"/>
    </font>
    <font>
      <sz val="8"/>
      <color rgb="FF008000"/>
      <name val="Calibri"/>
      <family val="2"/>
      <scheme val="minor"/>
    </font>
    <font>
      <sz val="8"/>
      <color theme="1"/>
      <name val="Arial"/>
      <family val="2"/>
    </font>
    <font>
      <b/>
      <sz val="8"/>
      <color rgb="FF008000"/>
      <name val="Arial"/>
      <family val="2"/>
    </font>
    <font>
      <sz val="8"/>
      <color rgb="FF800080"/>
      <name val="Calibri"/>
      <family val="2"/>
      <scheme val="minor"/>
    </font>
    <font>
      <b/>
      <sz val="8"/>
      <color rgb="FF800080"/>
      <name val="Calibri"/>
      <family val="2"/>
      <scheme val="minor"/>
    </font>
    <font>
      <sz val="8"/>
      <color rgb="FF000000"/>
      <name val="Arial"/>
      <family val="2"/>
    </font>
    <font>
      <b/>
      <i/>
      <sz val="11"/>
      <color theme="1"/>
      <name val="Calibri"/>
      <family val="2"/>
      <scheme val="minor"/>
    </font>
  </fonts>
  <fills count="8">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rgb="FF008000"/>
        <bgColor indexed="64"/>
      </patternFill>
    </fill>
    <fill>
      <patternFill patternType="solid">
        <fgColor theme="0"/>
        <bgColor indexed="64"/>
      </patternFill>
    </fill>
    <fill>
      <patternFill patternType="solid">
        <fgColor theme="1"/>
        <bgColor indexed="64"/>
      </patternFill>
    </fill>
    <fill>
      <patternFill patternType="solid">
        <fgColor rgb="FF01BCFF"/>
        <bgColor indexed="64"/>
      </patternFill>
    </fill>
  </fills>
  <borders count="13">
    <border>
      <left/>
      <right/>
      <top/>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
      <left style="thick">
        <color rgb="FF008000"/>
      </left>
      <right style="thick">
        <color rgb="FF008000"/>
      </right>
      <top style="thick">
        <color rgb="FF008000"/>
      </top>
      <bottom style="thick">
        <color rgb="FF00800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
    <xf numFmtId="0" fontId="0" fillId="0" borderId="0"/>
    <xf numFmtId="43" fontId="3" fillId="0" borderId="0" applyFont="0" applyFill="0" applyBorder="0" applyAlignment="0" applyProtection="0"/>
    <xf numFmtId="9" fontId="3" fillId="0" borderId="0" applyFont="0" applyFill="0" applyBorder="0" applyAlignment="0" applyProtection="0"/>
    <xf numFmtId="0" fontId="2" fillId="0" borderId="0"/>
  </cellStyleXfs>
  <cellXfs count="96">
    <xf numFmtId="0" fontId="0" fillId="0" borderId="0" xfId="0"/>
    <xf numFmtId="0" fontId="4" fillId="0" borderId="0" xfId="0" applyFont="1"/>
    <xf numFmtId="0" fontId="0" fillId="0" borderId="0" xfId="0" quotePrefix="1"/>
    <xf numFmtId="164" fontId="0" fillId="2" borderId="0" xfId="1" applyNumberFormat="1" applyFont="1" applyFill="1"/>
    <xf numFmtId="0" fontId="0" fillId="5" borderId="0" xfId="0" applyFill="1"/>
    <xf numFmtId="0" fontId="4" fillId="5" borderId="0" xfId="0" applyFont="1" applyFill="1" applyBorder="1"/>
    <xf numFmtId="0" fontId="4" fillId="5" borderId="0" xfId="0" applyFont="1" applyFill="1" applyBorder="1" applyAlignment="1">
      <alignment horizontal="center"/>
    </xf>
    <xf numFmtId="0" fontId="6" fillId="5" borderId="0" xfId="0" applyFont="1" applyFill="1"/>
    <xf numFmtId="167" fontId="6" fillId="5" borderId="0" xfId="2" applyNumberFormat="1" applyFont="1" applyFill="1"/>
    <xf numFmtId="0" fontId="5" fillId="5" borderId="0" xfId="0" applyFont="1" applyFill="1"/>
    <xf numFmtId="164" fontId="6" fillId="5" borderId="0" xfId="1" applyNumberFormat="1" applyFont="1" applyFill="1"/>
    <xf numFmtId="164" fontId="8" fillId="5" borderId="0" xfId="1" applyNumberFormat="1" applyFont="1" applyFill="1"/>
    <xf numFmtId="9" fontId="6" fillId="5" borderId="0" xfId="0" applyNumberFormat="1" applyFont="1" applyFill="1"/>
    <xf numFmtId="0" fontId="7" fillId="5" borderId="0" xfId="0" applyFont="1" applyFill="1"/>
    <xf numFmtId="164" fontId="6" fillId="5" borderId="3" xfId="1" applyNumberFormat="1" applyFont="1" applyFill="1" applyBorder="1"/>
    <xf numFmtId="164" fontId="7" fillId="5" borderId="0" xfId="1" applyNumberFormat="1" applyFont="1" applyFill="1"/>
    <xf numFmtId="0" fontId="8" fillId="5" borderId="0" xfId="0" applyFont="1" applyFill="1"/>
    <xf numFmtId="9" fontId="8" fillId="5" borderId="0" xfId="2" applyFont="1" applyFill="1"/>
    <xf numFmtId="167" fontId="8" fillId="5" borderId="0" xfId="2" applyNumberFormat="1" applyFont="1" applyFill="1"/>
    <xf numFmtId="166" fontId="8" fillId="5" borderId="0" xfId="1" applyNumberFormat="1" applyFont="1" applyFill="1"/>
    <xf numFmtId="43" fontId="6" fillId="5" borderId="0" xfId="1" applyNumberFormat="1" applyFont="1" applyFill="1"/>
    <xf numFmtId="43" fontId="8" fillId="5" borderId="0" xfId="1" applyNumberFormat="1" applyFont="1" applyFill="1"/>
    <xf numFmtId="164" fontId="10" fillId="5" borderId="0" xfId="1" applyNumberFormat="1" applyFont="1" applyFill="1"/>
    <xf numFmtId="165" fontId="6" fillId="5" borderId="0" xfId="1" applyNumberFormat="1" applyFont="1" applyFill="1"/>
    <xf numFmtId="43" fontId="6" fillId="5" borderId="0" xfId="1" applyFont="1" applyFill="1"/>
    <xf numFmtId="43" fontId="8" fillId="5" borderId="0" xfId="0" applyNumberFormat="1" applyFont="1" applyFill="1"/>
    <xf numFmtId="0" fontId="4" fillId="5" borderId="0" xfId="0" applyFont="1" applyFill="1"/>
    <xf numFmtId="164" fontId="4" fillId="5" borderId="0" xfId="1" applyNumberFormat="1" applyFont="1" applyFill="1"/>
    <xf numFmtId="164" fontId="0" fillId="5" borderId="0" xfId="1" applyNumberFormat="1" applyFont="1" applyFill="1"/>
    <xf numFmtId="9" fontId="0" fillId="5" borderId="0" xfId="0" applyNumberFormat="1" applyFill="1"/>
    <xf numFmtId="164" fontId="0" fillId="5" borderId="2" xfId="1" applyNumberFormat="1" applyFont="1" applyFill="1" applyBorder="1"/>
    <xf numFmtId="0" fontId="11" fillId="4" borderId="1" xfId="0" applyFont="1" applyFill="1" applyBorder="1"/>
    <xf numFmtId="0" fontId="11" fillId="4" borderId="1" xfId="0" applyFont="1" applyFill="1" applyBorder="1" applyAlignment="1">
      <alignment horizontal="center"/>
    </xf>
    <xf numFmtId="0" fontId="11" fillId="6" borderId="1" xfId="0" applyFont="1" applyFill="1" applyBorder="1"/>
    <xf numFmtId="0" fontId="11" fillId="6" borderId="1" xfId="0" applyFont="1" applyFill="1" applyBorder="1" applyAlignment="1">
      <alignment horizontal="center"/>
    </xf>
    <xf numFmtId="0" fontId="9" fillId="5" borderId="0" xfId="0" applyFont="1" applyFill="1"/>
    <xf numFmtId="0" fontId="0" fillId="5" borderId="0" xfId="0" applyFill="1" applyAlignment="1">
      <alignment horizontal="center"/>
    </xf>
    <xf numFmtId="164" fontId="0" fillId="5" borderId="0" xfId="1" applyNumberFormat="1" applyFont="1" applyFill="1" applyAlignment="1">
      <alignment horizontal="center"/>
    </xf>
    <xf numFmtId="10" fontId="0" fillId="5" borderId="0" xfId="0" applyNumberFormat="1" applyFill="1"/>
    <xf numFmtId="169" fontId="0" fillId="5" borderId="0" xfId="0" applyNumberFormat="1" applyFill="1"/>
    <xf numFmtId="168" fontId="0" fillId="5" borderId="0" xfId="0" applyNumberFormat="1" applyFill="1"/>
    <xf numFmtId="164" fontId="0" fillId="7" borderId="0" xfId="1" applyNumberFormat="1" applyFont="1" applyFill="1"/>
    <xf numFmtId="164" fontId="0" fillId="3" borderId="0" xfId="1" applyNumberFormat="1" applyFont="1" applyFill="1"/>
    <xf numFmtId="0" fontId="12" fillId="0" borderId="0" xfId="3" applyFont="1" applyAlignment="1">
      <alignment horizontal="right"/>
    </xf>
    <xf numFmtId="0" fontId="2" fillId="0" borderId="0" xfId="3"/>
    <xf numFmtId="0" fontId="13" fillId="0" borderId="0" xfId="3" applyFont="1" applyAlignment="1">
      <alignment horizontal="center"/>
    </xf>
    <xf numFmtId="0" fontId="2" fillId="0" borderId="0" xfId="3" applyNumberFormat="1"/>
    <xf numFmtId="170" fontId="14" fillId="0" borderId="0" xfId="3" applyNumberFormat="1" applyFont="1" applyAlignment="1">
      <alignment horizontal="right"/>
    </xf>
    <xf numFmtId="170" fontId="13" fillId="0" borderId="0" xfId="3" applyNumberFormat="1" applyFont="1" applyAlignment="1">
      <alignment horizontal="center"/>
    </xf>
    <xf numFmtId="0" fontId="16" fillId="0" borderId="0" xfId="3" applyNumberFormat="1" applyFont="1" applyAlignment="1">
      <alignment horizontal="center"/>
    </xf>
    <xf numFmtId="0" fontId="17" fillId="0" borderId="0" xfId="3" applyFont="1" applyAlignment="1">
      <alignment horizontal="center"/>
    </xf>
    <xf numFmtId="0" fontId="18" fillId="0" borderId="0" xfId="3" applyNumberFormat="1" applyFont="1" applyAlignment="1">
      <alignment horizontal="center"/>
    </xf>
    <xf numFmtId="0" fontId="15" fillId="0" borderId="0" xfId="3" applyFont="1" applyAlignment="1">
      <alignment horizontal="center"/>
    </xf>
    <xf numFmtId="0" fontId="19" fillId="0" borderId="0" xfId="0" applyFont="1" applyAlignment="1">
      <alignment horizontal="right"/>
    </xf>
    <xf numFmtId="0" fontId="20" fillId="0" borderId="0" xfId="0" applyFont="1" applyAlignment="1">
      <alignment horizontal="right"/>
    </xf>
    <xf numFmtId="9" fontId="2" fillId="0" borderId="0" xfId="3" applyNumberFormat="1"/>
    <xf numFmtId="0" fontId="21" fillId="0" borderId="0" xfId="3" applyFont="1" applyAlignment="1">
      <alignment horizontal="center"/>
    </xf>
    <xf numFmtId="0" fontId="22" fillId="0" borderId="0" xfId="3" applyFont="1" applyAlignment="1">
      <alignment horizontal="center"/>
    </xf>
    <xf numFmtId="0" fontId="14" fillId="0" borderId="0" xfId="3" applyFont="1" applyAlignment="1">
      <alignment horizontal="right"/>
    </xf>
    <xf numFmtId="0" fontId="23" fillId="0" borderId="0" xfId="0" applyFont="1" applyAlignment="1">
      <alignment horizontal="right"/>
    </xf>
    <xf numFmtId="0" fontId="0" fillId="0" borderId="0" xfId="0" applyAlignment="1">
      <alignment horizontal="left"/>
    </xf>
    <xf numFmtId="0" fontId="0" fillId="0" borderId="0" xfId="0" quotePrefix="1" applyAlignment="1">
      <alignment horizontal="left"/>
    </xf>
    <xf numFmtId="0" fontId="0" fillId="0" borderId="0" xfId="0" applyNumberFormat="1" applyAlignment="1">
      <alignment horizontal="left"/>
    </xf>
    <xf numFmtId="40" fontId="2" fillId="0" borderId="0" xfId="3" applyNumberFormat="1"/>
    <xf numFmtId="38" fontId="2" fillId="0" borderId="0" xfId="3" applyNumberFormat="1"/>
    <xf numFmtId="0" fontId="12" fillId="0" borderId="0" xfId="3" applyNumberFormat="1" applyFont="1" applyAlignment="1">
      <alignment horizontal="right"/>
    </xf>
    <xf numFmtId="0" fontId="2" fillId="0" borderId="0" xfId="3" applyFont="1"/>
    <xf numFmtId="9" fontId="2" fillId="0" borderId="0" xfId="3" applyNumberFormat="1" applyFont="1"/>
    <xf numFmtId="3" fontId="2" fillId="0" borderId="0" xfId="3" applyNumberFormat="1" applyFont="1"/>
    <xf numFmtId="38" fontId="2" fillId="0" borderId="0" xfId="3" applyNumberFormat="1" applyFont="1"/>
    <xf numFmtId="0" fontId="2" fillId="0" borderId="0" xfId="3" applyFont="1" applyBorder="1"/>
    <xf numFmtId="0" fontId="0" fillId="0" borderId="0" xfId="0" applyNumberFormat="1"/>
    <xf numFmtId="38" fontId="0" fillId="0" borderId="0" xfId="0" applyNumberFormat="1" applyAlignment="1">
      <alignment horizontal="left"/>
    </xf>
    <xf numFmtId="38" fontId="15" fillId="0" borderId="0" xfId="3" applyNumberFormat="1" applyFont="1" applyAlignment="1">
      <alignment horizontal="center"/>
    </xf>
    <xf numFmtId="38" fontId="22" fillId="0" borderId="0" xfId="3" applyNumberFormat="1" applyFont="1" applyAlignment="1">
      <alignment horizontal="center"/>
    </xf>
    <xf numFmtId="38" fontId="17" fillId="0" borderId="0" xfId="3" applyNumberFormat="1" applyFont="1" applyAlignment="1">
      <alignment horizontal="center"/>
    </xf>
    <xf numFmtId="38" fontId="13" fillId="0" borderId="0" xfId="3" applyNumberFormat="1" applyFont="1" applyAlignment="1">
      <alignment horizontal="center"/>
    </xf>
    <xf numFmtId="38" fontId="19" fillId="0" borderId="0" xfId="0" applyNumberFormat="1" applyFont="1" applyAlignment="1">
      <alignment horizontal="right"/>
    </xf>
    <xf numFmtId="38" fontId="12" fillId="0" borderId="0" xfId="3" applyNumberFormat="1" applyFont="1" applyAlignment="1">
      <alignment horizontal="right"/>
    </xf>
    <xf numFmtId="0" fontId="1" fillId="0" borderId="0" xfId="3" applyFont="1"/>
    <xf numFmtId="0" fontId="1" fillId="0" borderId="4" xfId="3" applyFont="1" applyBorder="1"/>
    <xf numFmtId="0" fontId="1" fillId="0" borderId="5" xfId="3" applyFont="1" applyBorder="1"/>
    <xf numFmtId="0" fontId="2" fillId="0" borderId="5" xfId="3" applyBorder="1"/>
    <xf numFmtId="0" fontId="2" fillId="0" borderId="6" xfId="3" applyBorder="1"/>
    <xf numFmtId="6" fontId="2" fillId="0" borderId="7" xfId="3" applyNumberFormat="1" applyFont="1" applyBorder="1"/>
    <xf numFmtId="9" fontId="2" fillId="0" borderId="8" xfId="3" applyNumberFormat="1" applyFont="1" applyBorder="1"/>
    <xf numFmtId="6" fontId="2" fillId="0" borderId="8" xfId="3" applyNumberFormat="1" applyFont="1" applyBorder="1"/>
    <xf numFmtId="6" fontId="2" fillId="0" borderId="9" xfId="3" applyNumberFormat="1" applyFont="1" applyBorder="1"/>
    <xf numFmtId="6" fontId="24" fillId="0" borderId="7" xfId="3" applyNumberFormat="1" applyFont="1" applyBorder="1"/>
    <xf numFmtId="9" fontId="24" fillId="0" borderId="8" xfId="3" applyNumberFormat="1" applyFont="1" applyBorder="1"/>
    <xf numFmtId="6" fontId="24" fillId="0" borderId="8" xfId="3" applyNumberFormat="1" applyFont="1" applyBorder="1"/>
    <xf numFmtId="6" fontId="24" fillId="0" borderId="9" xfId="3" applyNumberFormat="1" applyFont="1" applyBorder="1"/>
    <xf numFmtId="6" fontId="2" fillId="0" borderId="10" xfId="3" applyNumberFormat="1" applyFont="1" applyBorder="1"/>
    <xf numFmtId="9" fontId="2" fillId="0" borderId="11" xfId="3" applyNumberFormat="1" applyFont="1" applyBorder="1"/>
    <xf numFmtId="6" fontId="2" fillId="0" borderId="11" xfId="3" applyNumberFormat="1" applyFont="1" applyBorder="1"/>
    <xf numFmtId="6" fontId="2" fillId="0" borderId="12" xfId="3" applyNumberFormat="1" applyFont="1" applyBorder="1"/>
  </cellXfs>
  <cellStyles count="4">
    <cellStyle name="Comma" xfId="1" builtinId="3"/>
    <cellStyle name="Normal" xfId="0" builtinId="0"/>
    <cellStyle name="Normal 2" xfId="3"/>
    <cellStyle name="Percent" xfId="2" builtinId="5"/>
  </cellStyles>
  <dxfs count="0"/>
  <tableStyles count="0" defaultTableStyle="TableStyleMedium2" defaultPivotStyle="PivotStyleLight16"/>
  <colors>
    <mruColors>
      <color rgb="FF008000"/>
      <color rgb="FF01BC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495300</xdr:colOff>
      <xdr:row>2</xdr:row>
      <xdr:rowOff>66675</xdr:rowOff>
    </xdr:from>
    <xdr:to>
      <xdr:col>14</xdr:col>
      <xdr:colOff>228600</xdr:colOff>
      <xdr:row>19</xdr:row>
      <xdr:rowOff>9525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34100" y="390525"/>
          <a:ext cx="4610100"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242697</xdr:colOff>
      <xdr:row>76</xdr:row>
      <xdr:rowOff>185420</xdr:rowOff>
    </xdr:from>
    <xdr:to>
      <xdr:col>8</xdr:col>
      <xdr:colOff>127</xdr:colOff>
      <xdr:row>76</xdr:row>
      <xdr:rowOff>185420</xdr:rowOff>
    </xdr:to>
    <xdr:cxnSp macro="_xll.PtreeEvent_ObjectClick">
      <xdr:nvCxnSpPr>
        <xdr:cNvPr id="380" name="PTObj_DBranchHLine_1_26"/>
        <xdr:cNvCxnSpPr/>
      </xdr:nvCxnSpPr>
      <xdr:spPr>
        <a:xfrm>
          <a:off x="7929372" y="14663420"/>
          <a:ext cx="2100580"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66</xdr:row>
      <xdr:rowOff>180339</xdr:rowOff>
    </xdr:from>
    <xdr:to>
      <xdr:col>7</xdr:col>
      <xdr:colOff>242697</xdr:colOff>
      <xdr:row>76</xdr:row>
      <xdr:rowOff>185420</xdr:rowOff>
    </xdr:to>
    <xdr:cxnSp macro="_xll.PtreeEvent_ObjectClick">
      <xdr:nvCxnSpPr>
        <xdr:cNvPr id="379" name="PTObj_DBranchDLine_1_26"/>
        <xdr:cNvCxnSpPr/>
      </xdr:nvCxnSpPr>
      <xdr:spPr>
        <a:xfrm>
          <a:off x="7776972" y="12753339"/>
          <a:ext cx="152400" cy="1910081"/>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242697</xdr:colOff>
      <xdr:row>66</xdr:row>
      <xdr:rowOff>185420</xdr:rowOff>
    </xdr:from>
    <xdr:to>
      <xdr:col>7</xdr:col>
      <xdr:colOff>127</xdr:colOff>
      <xdr:row>66</xdr:row>
      <xdr:rowOff>185420</xdr:rowOff>
    </xdr:to>
    <xdr:cxnSp macro="_xll.PtreeEvent_ObjectClick">
      <xdr:nvCxnSpPr>
        <xdr:cNvPr id="377" name="PTObj_DBranchHLine_1_22"/>
        <xdr:cNvCxnSpPr/>
      </xdr:nvCxnSpPr>
      <xdr:spPr>
        <a:xfrm>
          <a:off x="5433822" y="12758420"/>
          <a:ext cx="2252980"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90297</xdr:colOff>
      <xdr:row>38</xdr:row>
      <xdr:rowOff>180339</xdr:rowOff>
    </xdr:from>
    <xdr:to>
      <xdr:col>6</xdr:col>
      <xdr:colOff>242697</xdr:colOff>
      <xdr:row>66</xdr:row>
      <xdr:rowOff>185420</xdr:rowOff>
    </xdr:to>
    <xdr:cxnSp macro="_xll.PtreeEvent_ObjectClick">
      <xdr:nvCxnSpPr>
        <xdr:cNvPr id="376" name="PTObj_DBranchDLine_1_22"/>
        <xdr:cNvCxnSpPr/>
      </xdr:nvCxnSpPr>
      <xdr:spPr>
        <a:xfrm>
          <a:off x="5281422" y="7419339"/>
          <a:ext cx="152400" cy="5339081"/>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177800</xdr:colOff>
      <xdr:row>38</xdr:row>
      <xdr:rowOff>185420</xdr:rowOff>
    </xdr:from>
    <xdr:to>
      <xdr:col>6</xdr:col>
      <xdr:colOff>127</xdr:colOff>
      <xdr:row>38</xdr:row>
      <xdr:rowOff>185420</xdr:rowOff>
    </xdr:to>
    <xdr:cxnSp macro="_xll.PtreeEvent_ObjectClick">
      <xdr:nvCxnSpPr>
        <xdr:cNvPr id="374" name="PTObj_DBranchHLine_1_1"/>
        <xdr:cNvCxnSpPr/>
      </xdr:nvCxnSpPr>
      <xdr:spPr>
        <a:xfrm>
          <a:off x="4083050" y="7424420"/>
          <a:ext cx="1108202"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242697</xdr:colOff>
      <xdr:row>46</xdr:row>
      <xdr:rowOff>185420</xdr:rowOff>
    </xdr:from>
    <xdr:to>
      <xdr:col>7</xdr:col>
      <xdr:colOff>127</xdr:colOff>
      <xdr:row>46</xdr:row>
      <xdr:rowOff>185420</xdr:rowOff>
    </xdr:to>
    <xdr:cxnSp macro="_xll.PtreeEvent_ObjectClick">
      <xdr:nvCxnSpPr>
        <xdr:cNvPr id="367" name="PTObj_DBranchHLine_1_12"/>
        <xdr:cNvCxnSpPr/>
      </xdr:nvCxnSpPr>
      <xdr:spPr>
        <a:xfrm>
          <a:off x="5433822" y="8948420"/>
          <a:ext cx="22529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90297</xdr:colOff>
      <xdr:row>38</xdr:row>
      <xdr:rowOff>180339</xdr:rowOff>
    </xdr:from>
    <xdr:to>
      <xdr:col>6</xdr:col>
      <xdr:colOff>242697</xdr:colOff>
      <xdr:row>46</xdr:row>
      <xdr:rowOff>185420</xdr:rowOff>
    </xdr:to>
    <xdr:cxnSp macro="_xll.PtreeEvent_ObjectClick">
      <xdr:nvCxnSpPr>
        <xdr:cNvPr id="366" name="PTObj_DBranchDLine_1_12"/>
        <xdr:cNvCxnSpPr/>
      </xdr:nvCxnSpPr>
      <xdr:spPr>
        <a:xfrm>
          <a:off x="5281422" y="7419339"/>
          <a:ext cx="152400" cy="1529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242697</xdr:colOff>
      <xdr:row>24</xdr:row>
      <xdr:rowOff>185420</xdr:rowOff>
    </xdr:from>
    <xdr:to>
      <xdr:col>7</xdr:col>
      <xdr:colOff>127</xdr:colOff>
      <xdr:row>24</xdr:row>
      <xdr:rowOff>185420</xdr:rowOff>
    </xdr:to>
    <xdr:cxnSp macro="_xll.PtreeEvent_ObjectClick">
      <xdr:nvCxnSpPr>
        <xdr:cNvPr id="363" name="PTObj_DBranchHLine_1_2"/>
        <xdr:cNvCxnSpPr/>
      </xdr:nvCxnSpPr>
      <xdr:spPr>
        <a:xfrm>
          <a:off x="5433822" y="4757420"/>
          <a:ext cx="22529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90297</xdr:colOff>
      <xdr:row>24</xdr:row>
      <xdr:rowOff>185420</xdr:rowOff>
    </xdr:from>
    <xdr:to>
      <xdr:col>6</xdr:col>
      <xdr:colOff>242697</xdr:colOff>
      <xdr:row>38</xdr:row>
      <xdr:rowOff>180339</xdr:rowOff>
    </xdr:to>
    <xdr:cxnSp macro="_xll.PtreeEvent_ObjectClick">
      <xdr:nvCxnSpPr>
        <xdr:cNvPr id="362" name="PTObj_DBranchDLine_1_2"/>
        <xdr:cNvCxnSpPr/>
      </xdr:nvCxnSpPr>
      <xdr:spPr>
        <a:xfrm flipV="1">
          <a:off x="5281422" y="4757420"/>
          <a:ext cx="152400" cy="2661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70</xdr:row>
      <xdr:rowOff>185420</xdr:rowOff>
    </xdr:from>
    <xdr:to>
      <xdr:col>8</xdr:col>
      <xdr:colOff>127</xdr:colOff>
      <xdr:row>70</xdr:row>
      <xdr:rowOff>185420</xdr:rowOff>
    </xdr:to>
    <xdr:cxnSp macro="_xll.PtreeEvent_ObjectClick">
      <xdr:nvCxnSpPr>
        <xdr:cNvPr id="336" name="PTObj_DBranchHLine_1_29"/>
        <xdr:cNvCxnSpPr/>
      </xdr:nvCxnSpPr>
      <xdr:spPr>
        <a:xfrm>
          <a:off x="7929372" y="13520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66</xdr:row>
      <xdr:rowOff>180339</xdr:rowOff>
    </xdr:from>
    <xdr:to>
      <xdr:col>7</xdr:col>
      <xdr:colOff>242697</xdr:colOff>
      <xdr:row>70</xdr:row>
      <xdr:rowOff>185420</xdr:rowOff>
    </xdr:to>
    <xdr:cxnSp macro="_xll.PtreeEvent_ObjectClick">
      <xdr:nvCxnSpPr>
        <xdr:cNvPr id="335" name="PTObj_DBranchDLine_1_29"/>
        <xdr:cNvCxnSpPr/>
      </xdr:nvCxnSpPr>
      <xdr:spPr>
        <a:xfrm>
          <a:off x="7776972" y="12753339"/>
          <a:ext cx="152400" cy="767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62</xdr:row>
      <xdr:rowOff>185420</xdr:rowOff>
    </xdr:from>
    <xdr:to>
      <xdr:col>8</xdr:col>
      <xdr:colOff>127</xdr:colOff>
      <xdr:row>62</xdr:row>
      <xdr:rowOff>185420</xdr:rowOff>
    </xdr:to>
    <xdr:cxnSp macro="_xll.PtreeEvent_ObjectClick">
      <xdr:nvCxnSpPr>
        <xdr:cNvPr id="332" name="PTObj_DBranchHLine_1_23"/>
        <xdr:cNvCxnSpPr/>
      </xdr:nvCxnSpPr>
      <xdr:spPr>
        <a:xfrm>
          <a:off x="7929372" y="11996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62</xdr:row>
      <xdr:rowOff>185420</xdr:rowOff>
    </xdr:from>
    <xdr:to>
      <xdr:col>7</xdr:col>
      <xdr:colOff>242697</xdr:colOff>
      <xdr:row>66</xdr:row>
      <xdr:rowOff>180339</xdr:rowOff>
    </xdr:to>
    <xdr:cxnSp macro="_xll.PtreeEvent_ObjectClick">
      <xdr:nvCxnSpPr>
        <xdr:cNvPr id="331" name="PTObj_DBranchDLine_1_23"/>
        <xdr:cNvCxnSpPr/>
      </xdr:nvCxnSpPr>
      <xdr:spPr>
        <a:xfrm flipV="1">
          <a:off x="7776972" y="11996420"/>
          <a:ext cx="152400" cy="756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56</xdr:row>
      <xdr:rowOff>185420</xdr:rowOff>
    </xdr:from>
    <xdr:to>
      <xdr:col>8</xdr:col>
      <xdr:colOff>127</xdr:colOff>
      <xdr:row>56</xdr:row>
      <xdr:rowOff>185420</xdr:rowOff>
    </xdr:to>
    <xdr:cxnSp macro="_xll.PtreeEvent_ObjectClick">
      <xdr:nvCxnSpPr>
        <xdr:cNvPr id="324" name="PTObj_DBranchHLine_1_19"/>
        <xdr:cNvCxnSpPr/>
      </xdr:nvCxnSpPr>
      <xdr:spPr>
        <a:xfrm>
          <a:off x="7929372" y="10853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46</xdr:row>
      <xdr:rowOff>180339</xdr:rowOff>
    </xdr:from>
    <xdr:to>
      <xdr:col>7</xdr:col>
      <xdr:colOff>242697</xdr:colOff>
      <xdr:row>56</xdr:row>
      <xdr:rowOff>185420</xdr:rowOff>
    </xdr:to>
    <xdr:cxnSp macro="_xll.PtreeEvent_ObjectClick">
      <xdr:nvCxnSpPr>
        <xdr:cNvPr id="323" name="PTObj_DBranchDLine_1_19"/>
        <xdr:cNvCxnSpPr/>
      </xdr:nvCxnSpPr>
      <xdr:spPr>
        <a:xfrm>
          <a:off x="7776972" y="8943339"/>
          <a:ext cx="152400" cy="1910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50</xdr:row>
      <xdr:rowOff>185420</xdr:rowOff>
    </xdr:from>
    <xdr:to>
      <xdr:col>8</xdr:col>
      <xdr:colOff>127</xdr:colOff>
      <xdr:row>50</xdr:row>
      <xdr:rowOff>185420</xdr:rowOff>
    </xdr:to>
    <xdr:cxnSp macro="_xll.PtreeEvent_ObjectClick">
      <xdr:nvCxnSpPr>
        <xdr:cNvPr id="320" name="PTObj_DBranchHLine_1_16"/>
        <xdr:cNvCxnSpPr/>
      </xdr:nvCxnSpPr>
      <xdr:spPr>
        <a:xfrm>
          <a:off x="7929372" y="9710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46</xdr:row>
      <xdr:rowOff>180339</xdr:rowOff>
    </xdr:from>
    <xdr:to>
      <xdr:col>7</xdr:col>
      <xdr:colOff>242697</xdr:colOff>
      <xdr:row>50</xdr:row>
      <xdr:rowOff>185420</xdr:rowOff>
    </xdr:to>
    <xdr:cxnSp macro="_xll.PtreeEvent_ObjectClick">
      <xdr:nvCxnSpPr>
        <xdr:cNvPr id="319" name="PTObj_DBranchDLine_1_16"/>
        <xdr:cNvCxnSpPr/>
      </xdr:nvCxnSpPr>
      <xdr:spPr>
        <a:xfrm>
          <a:off x="7776972" y="8943339"/>
          <a:ext cx="152400" cy="767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42</xdr:row>
      <xdr:rowOff>185420</xdr:rowOff>
    </xdr:from>
    <xdr:to>
      <xdr:col>8</xdr:col>
      <xdr:colOff>127</xdr:colOff>
      <xdr:row>42</xdr:row>
      <xdr:rowOff>185420</xdr:rowOff>
    </xdr:to>
    <xdr:cxnSp macro="_xll.PtreeEvent_ObjectClick">
      <xdr:nvCxnSpPr>
        <xdr:cNvPr id="316" name="PTObj_DBranchHLine_1_13"/>
        <xdr:cNvCxnSpPr/>
      </xdr:nvCxnSpPr>
      <xdr:spPr>
        <a:xfrm>
          <a:off x="7929372" y="8186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42</xdr:row>
      <xdr:rowOff>185420</xdr:rowOff>
    </xdr:from>
    <xdr:to>
      <xdr:col>7</xdr:col>
      <xdr:colOff>242697</xdr:colOff>
      <xdr:row>46</xdr:row>
      <xdr:rowOff>180339</xdr:rowOff>
    </xdr:to>
    <xdr:cxnSp macro="_xll.PtreeEvent_ObjectClick">
      <xdr:nvCxnSpPr>
        <xdr:cNvPr id="315" name="PTObj_DBranchDLine_1_13"/>
        <xdr:cNvCxnSpPr/>
      </xdr:nvCxnSpPr>
      <xdr:spPr>
        <a:xfrm flipV="1">
          <a:off x="7776972" y="8186420"/>
          <a:ext cx="152400" cy="756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72</xdr:row>
      <xdr:rowOff>185420</xdr:rowOff>
    </xdr:from>
    <xdr:to>
      <xdr:col>9</xdr:col>
      <xdr:colOff>127</xdr:colOff>
      <xdr:row>72</xdr:row>
      <xdr:rowOff>185420</xdr:rowOff>
    </xdr:to>
    <xdr:cxnSp macro="_xll.PtreeEvent_ObjectClick">
      <xdr:nvCxnSpPr>
        <xdr:cNvPr id="296" name="PTObj_DBranchHLine_1_31"/>
        <xdr:cNvCxnSpPr/>
      </xdr:nvCxnSpPr>
      <xdr:spPr>
        <a:xfrm>
          <a:off x="9567672" y="15044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70</xdr:row>
      <xdr:rowOff>180339</xdr:rowOff>
    </xdr:from>
    <xdr:to>
      <xdr:col>8</xdr:col>
      <xdr:colOff>242697</xdr:colOff>
      <xdr:row>72</xdr:row>
      <xdr:rowOff>185420</xdr:rowOff>
    </xdr:to>
    <xdr:cxnSp macro="_xll.PtreeEvent_ObjectClick">
      <xdr:nvCxnSpPr>
        <xdr:cNvPr id="295" name="PTObj_DBranchDLine_1_31"/>
        <xdr:cNvCxnSpPr/>
      </xdr:nvCxnSpPr>
      <xdr:spPr>
        <a:xfrm>
          <a:off x="9415272" y="14658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68</xdr:row>
      <xdr:rowOff>185420</xdr:rowOff>
    </xdr:from>
    <xdr:to>
      <xdr:col>9</xdr:col>
      <xdr:colOff>127</xdr:colOff>
      <xdr:row>68</xdr:row>
      <xdr:rowOff>185420</xdr:rowOff>
    </xdr:to>
    <xdr:cxnSp macro="_xll.PtreeEvent_ObjectClick">
      <xdr:nvCxnSpPr>
        <xdr:cNvPr id="292" name="PTObj_DBranchHLine_1_30"/>
        <xdr:cNvCxnSpPr/>
      </xdr:nvCxnSpPr>
      <xdr:spPr>
        <a:xfrm>
          <a:off x="9567672" y="14282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68</xdr:row>
      <xdr:rowOff>185420</xdr:rowOff>
    </xdr:from>
    <xdr:to>
      <xdr:col>8</xdr:col>
      <xdr:colOff>242697</xdr:colOff>
      <xdr:row>70</xdr:row>
      <xdr:rowOff>180339</xdr:rowOff>
    </xdr:to>
    <xdr:cxnSp macro="_xll.PtreeEvent_ObjectClick">
      <xdr:nvCxnSpPr>
        <xdr:cNvPr id="291" name="PTObj_DBranchDLine_1_30"/>
        <xdr:cNvCxnSpPr/>
      </xdr:nvCxnSpPr>
      <xdr:spPr>
        <a:xfrm flipV="1">
          <a:off x="9415272" y="14282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78</xdr:row>
      <xdr:rowOff>185420</xdr:rowOff>
    </xdr:from>
    <xdr:to>
      <xdr:col>9</xdr:col>
      <xdr:colOff>127</xdr:colOff>
      <xdr:row>78</xdr:row>
      <xdr:rowOff>185420</xdr:rowOff>
    </xdr:to>
    <xdr:cxnSp macro="_xll.PtreeEvent_ObjectClick">
      <xdr:nvCxnSpPr>
        <xdr:cNvPr id="284" name="PTObj_DBranchHLine_1_28"/>
        <xdr:cNvCxnSpPr/>
      </xdr:nvCxnSpPr>
      <xdr:spPr>
        <a:xfrm>
          <a:off x="9567672" y="13901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76</xdr:row>
      <xdr:rowOff>180339</xdr:rowOff>
    </xdr:from>
    <xdr:to>
      <xdr:col>8</xdr:col>
      <xdr:colOff>242697</xdr:colOff>
      <xdr:row>78</xdr:row>
      <xdr:rowOff>185420</xdr:rowOff>
    </xdr:to>
    <xdr:cxnSp macro="_xll.PtreeEvent_ObjectClick">
      <xdr:nvCxnSpPr>
        <xdr:cNvPr id="283" name="PTObj_DBranchDLine_1_28"/>
        <xdr:cNvCxnSpPr/>
      </xdr:nvCxnSpPr>
      <xdr:spPr>
        <a:xfrm>
          <a:off x="9415272" y="13515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74</xdr:row>
      <xdr:rowOff>185420</xdr:rowOff>
    </xdr:from>
    <xdr:to>
      <xdr:col>9</xdr:col>
      <xdr:colOff>127</xdr:colOff>
      <xdr:row>74</xdr:row>
      <xdr:rowOff>185420</xdr:rowOff>
    </xdr:to>
    <xdr:cxnSp macro="_xll.PtreeEvent_ObjectClick">
      <xdr:nvCxnSpPr>
        <xdr:cNvPr id="280" name="PTObj_DBranchHLine_1_27"/>
        <xdr:cNvCxnSpPr/>
      </xdr:nvCxnSpPr>
      <xdr:spPr>
        <a:xfrm>
          <a:off x="9567672" y="13139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74</xdr:row>
      <xdr:rowOff>185420</xdr:rowOff>
    </xdr:from>
    <xdr:to>
      <xdr:col>8</xdr:col>
      <xdr:colOff>242697</xdr:colOff>
      <xdr:row>76</xdr:row>
      <xdr:rowOff>180339</xdr:rowOff>
    </xdr:to>
    <xdr:cxnSp macro="_xll.PtreeEvent_ObjectClick">
      <xdr:nvCxnSpPr>
        <xdr:cNvPr id="279" name="PTObj_DBranchDLine_1_27"/>
        <xdr:cNvCxnSpPr/>
      </xdr:nvCxnSpPr>
      <xdr:spPr>
        <a:xfrm flipV="1">
          <a:off x="9415272" y="13139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64</xdr:row>
      <xdr:rowOff>185420</xdr:rowOff>
    </xdr:from>
    <xdr:to>
      <xdr:col>9</xdr:col>
      <xdr:colOff>127</xdr:colOff>
      <xdr:row>64</xdr:row>
      <xdr:rowOff>185420</xdr:rowOff>
    </xdr:to>
    <xdr:cxnSp macro="_xll.PtreeEvent_ObjectClick">
      <xdr:nvCxnSpPr>
        <xdr:cNvPr id="272" name="PTObj_DBranchHLine_1_25"/>
        <xdr:cNvCxnSpPr/>
      </xdr:nvCxnSpPr>
      <xdr:spPr>
        <a:xfrm>
          <a:off x="9567672" y="12377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62</xdr:row>
      <xdr:rowOff>180339</xdr:rowOff>
    </xdr:from>
    <xdr:to>
      <xdr:col>8</xdr:col>
      <xdr:colOff>242697</xdr:colOff>
      <xdr:row>64</xdr:row>
      <xdr:rowOff>185420</xdr:rowOff>
    </xdr:to>
    <xdr:cxnSp macro="_xll.PtreeEvent_ObjectClick">
      <xdr:nvCxnSpPr>
        <xdr:cNvPr id="271" name="PTObj_DBranchDLine_1_25"/>
        <xdr:cNvCxnSpPr/>
      </xdr:nvCxnSpPr>
      <xdr:spPr>
        <a:xfrm>
          <a:off x="9415272" y="11991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60</xdr:row>
      <xdr:rowOff>185420</xdr:rowOff>
    </xdr:from>
    <xdr:to>
      <xdr:col>9</xdr:col>
      <xdr:colOff>127</xdr:colOff>
      <xdr:row>60</xdr:row>
      <xdr:rowOff>185420</xdr:rowOff>
    </xdr:to>
    <xdr:cxnSp macro="_xll.PtreeEvent_ObjectClick">
      <xdr:nvCxnSpPr>
        <xdr:cNvPr id="268" name="PTObj_DBranchHLine_1_24"/>
        <xdr:cNvCxnSpPr/>
      </xdr:nvCxnSpPr>
      <xdr:spPr>
        <a:xfrm>
          <a:off x="9567672" y="11615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60</xdr:row>
      <xdr:rowOff>185420</xdr:rowOff>
    </xdr:from>
    <xdr:to>
      <xdr:col>8</xdr:col>
      <xdr:colOff>242697</xdr:colOff>
      <xdr:row>62</xdr:row>
      <xdr:rowOff>180339</xdr:rowOff>
    </xdr:to>
    <xdr:cxnSp macro="_xll.PtreeEvent_ObjectClick">
      <xdr:nvCxnSpPr>
        <xdr:cNvPr id="267" name="PTObj_DBranchDLine_1_24"/>
        <xdr:cNvCxnSpPr/>
      </xdr:nvCxnSpPr>
      <xdr:spPr>
        <a:xfrm flipV="1">
          <a:off x="9415272" y="11615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58</xdr:row>
      <xdr:rowOff>185420</xdr:rowOff>
    </xdr:from>
    <xdr:to>
      <xdr:col>9</xdr:col>
      <xdr:colOff>127</xdr:colOff>
      <xdr:row>58</xdr:row>
      <xdr:rowOff>185420</xdr:rowOff>
    </xdr:to>
    <xdr:cxnSp macro="_xll.PtreeEvent_ObjectClick">
      <xdr:nvCxnSpPr>
        <xdr:cNvPr id="256" name="PTObj_DBranchHLine_1_21"/>
        <xdr:cNvCxnSpPr/>
      </xdr:nvCxnSpPr>
      <xdr:spPr>
        <a:xfrm>
          <a:off x="9567672" y="11234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56</xdr:row>
      <xdr:rowOff>180339</xdr:rowOff>
    </xdr:from>
    <xdr:to>
      <xdr:col>8</xdr:col>
      <xdr:colOff>242697</xdr:colOff>
      <xdr:row>58</xdr:row>
      <xdr:rowOff>185420</xdr:rowOff>
    </xdr:to>
    <xdr:cxnSp macro="_xll.PtreeEvent_ObjectClick">
      <xdr:nvCxnSpPr>
        <xdr:cNvPr id="255" name="PTObj_DBranchDLine_1_21"/>
        <xdr:cNvCxnSpPr/>
      </xdr:nvCxnSpPr>
      <xdr:spPr>
        <a:xfrm>
          <a:off x="9415272" y="10848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54</xdr:row>
      <xdr:rowOff>185420</xdr:rowOff>
    </xdr:from>
    <xdr:to>
      <xdr:col>9</xdr:col>
      <xdr:colOff>127</xdr:colOff>
      <xdr:row>54</xdr:row>
      <xdr:rowOff>185420</xdr:rowOff>
    </xdr:to>
    <xdr:cxnSp macro="_xll.PtreeEvent_ObjectClick">
      <xdr:nvCxnSpPr>
        <xdr:cNvPr id="252" name="PTObj_DBranchHLine_1_20"/>
        <xdr:cNvCxnSpPr/>
      </xdr:nvCxnSpPr>
      <xdr:spPr>
        <a:xfrm>
          <a:off x="9567672" y="10472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54</xdr:row>
      <xdr:rowOff>185420</xdr:rowOff>
    </xdr:from>
    <xdr:to>
      <xdr:col>8</xdr:col>
      <xdr:colOff>242697</xdr:colOff>
      <xdr:row>56</xdr:row>
      <xdr:rowOff>180339</xdr:rowOff>
    </xdr:to>
    <xdr:cxnSp macro="_xll.PtreeEvent_ObjectClick">
      <xdr:nvCxnSpPr>
        <xdr:cNvPr id="251" name="PTObj_DBranchDLine_1_20"/>
        <xdr:cNvCxnSpPr/>
      </xdr:nvCxnSpPr>
      <xdr:spPr>
        <a:xfrm flipV="1">
          <a:off x="9415272" y="10472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52</xdr:row>
      <xdr:rowOff>185420</xdr:rowOff>
    </xdr:from>
    <xdr:to>
      <xdr:col>9</xdr:col>
      <xdr:colOff>127</xdr:colOff>
      <xdr:row>52</xdr:row>
      <xdr:rowOff>185420</xdr:rowOff>
    </xdr:to>
    <xdr:cxnSp macro="_xll.PtreeEvent_ObjectClick">
      <xdr:nvCxnSpPr>
        <xdr:cNvPr id="244" name="PTObj_DBranchHLine_1_18"/>
        <xdr:cNvCxnSpPr/>
      </xdr:nvCxnSpPr>
      <xdr:spPr>
        <a:xfrm>
          <a:off x="9567672" y="10091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50</xdr:row>
      <xdr:rowOff>180339</xdr:rowOff>
    </xdr:from>
    <xdr:to>
      <xdr:col>8</xdr:col>
      <xdr:colOff>242697</xdr:colOff>
      <xdr:row>52</xdr:row>
      <xdr:rowOff>185420</xdr:rowOff>
    </xdr:to>
    <xdr:cxnSp macro="_xll.PtreeEvent_ObjectClick">
      <xdr:nvCxnSpPr>
        <xdr:cNvPr id="243" name="PTObj_DBranchDLine_1_18"/>
        <xdr:cNvCxnSpPr/>
      </xdr:nvCxnSpPr>
      <xdr:spPr>
        <a:xfrm>
          <a:off x="9415272" y="9705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48</xdr:row>
      <xdr:rowOff>185420</xdr:rowOff>
    </xdr:from>
    <xdr:to>
      <xdr:col>9</xdr:col>
      <xdr:colOff>127</xdr:colOff>
      <xdr:row>48</xdr:row>
      <xdr:rowOff>185420</xdr:rowOff>
    </xdr:to>
    <xdr:cxnSp macro="_xll.PtreeEvent_ObjectClick">
      <xdr:nvCxnSpPr>
        <xdr:cNvPr id="240" name="PTObj_DBranchHLine_1_17"/>
        <xdr:cNvCxnSpPr/>
      </xdr:nvCxnSpPr>
      <xdr:spPr>
        <a:xfrm>
          <a:off x="9567672" y="9329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48</xdr:row>
      <xdr:rowOff>185420</xdr:rowOff>
    </xdr:from>
    <xdr:to>
      <xdr:col>8</xdr:col>
      <xdr:colOff>242697</xdr:colOff>
      <xdr:row>50</xdr:row>
      <xdr:rowOff>180339</xdr:rowOff>
    </xdr:to>
    <xdr:cxnSp macro="_xll.PtreeEvent_ObjectClick">
      <xdr:nvCxnSpPr>
        <xdr:cNvPr id="239" name="PTObj_DBranchDLine_1_17"/>
        <xdr:cNvCxnSpPr/>
      </xdr:nvCxnSpPr>
      <xdr:spPr>
        <a:xfrm flipV="1">
          <a:off x="9415272" y="9329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44</xdr:row>
      <xdr:rowOff>185420</xdr:rowOff>
    </xdr:from>
    <xdr:to>
      <xdr:col>9</xdr:col>
      <xdr:colOff>127</xdr:colOff>
      <xdr:row>44</xdr:row>
      <xdr:rowOff>185420</xdr:rowOff>
    </xdr:to>
    <xdr:cxnSp macro="_xll.PtreeEvent_ObjectClick">
      <xdr:nvCxnSpPr>
        <xdr:cNvPr id="232" name="PTObj_DBranchHLine_1_15"/>
        <xdr:cNvCxnSpPr/>
      </xdr:nvCxnSpPr>
      <xdr:spPr>
        <a:xfrm>
          <a:off x="9567672" y="8567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42</xdr:row>
      <xdr:rowOff>180339</xdr:rowOff>
    </xdr:from>
    <xdr:to>
      <xdr:col>8</xdr:col>
      <xdr:colOff>242697</xdr:colOff>
      <xdr:row>44</xdr:row>
      <xdr:rowOff>185420</xdr:rowOff>
    </xdr:to>
    <xdr:cxnSp macro="_xll.PtreeEvent_ObjectClick">
      <xdr:nvCxnSpPr>
        <xdr:cNvPr id="231" name="PTObj_DBranchDLine_1_15"/>
        <xdr:cNvCxnSpPr/>
      </xdr:nvCxnSpPr>
      <xdr:spPr>
        <a:xfrm>
          <a:off x="9415272" y="8181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40</xdr:row>
      <xdr:rowOff>185420</xdr:rowOff>
    </xdr:from>
    <xdr:to>
      <xdr:col>9</xdr:col>
      <xdr:colOff>127</xdr:colOff>
      <xdr:row>40</xdr:row>
      <xdr:rowOff>185420</xdr:rowOff>
    </xdr:to>
    <xdr:cxnSp macro="_xll.PtreeEvent_ObjectClick">
      <xdr:nvCxnSpPr>
        <xdr:cNvPr id="228" name="PTObj_DBranchHLine_1_14"/>
        <xdr:cNvCxnSpPr/>
      </xdr:nvCxnSpPr>
      <xdr:spPr>
        <a:xfrm>
          <a:off x="9567672" y="7805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40</xdr:row>
      <xdr:rowOff>185420</xdr:rowOff>
    </xdr:from>
    <xdr:to>
      <xdr:col>8</xdr:col>
      <xdr:colOff>242697</xdr:colOff>
      <xdr:row>42</xdr:row>
      <xdr:rowOff>180339</xdr:rowOff>
    </xdr:to>
    <xdr:cxnSp macro="_xll.PtreeEvent_ObjectClick">
      <xdr:nvCxnSpPr>
        <xdr:cNvPr id="227" name="PTObj_DBranchDLine_1_14"/>
        <xdr:cNvCxnSpPr/>
      </xdr:nvCxnSpPr>
      <xdr:spPr>
        <a:xfrm flipV="1">
          <a:off x="9415272" y="7805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36</xdr:row>
      <xdr:rowOff>185420</xdr:rowOff>
    </xdr:from>
    <xdr:to>
      <xdr:col>9</xdr:col>
      <xdr:colOff>127</xdr:colOff>
      <xdr:row>36</xdr:row>
      <xdr:rowOff>185420</xdr:rowOff>
    </xdr:to>
    <xdr:cxnSp macro="_xll.PtreeEvent_ObjectClick">
      <xdr:nvCxnSpPr>
        <xdr:cNvPr id="216" name="PTObj_DBranchHLine_1_11"/>
        <xdr:cNvCxnSpPr/>
      </xdr:nvCxnSpPr>
      <xdr:spPr>
        <a:xfrm>
          <a:off x="9567672" y="7043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34</xdr:row>
      <xdr:rowOff>180339</xdr:rowOff>
    </xdr:from>
    <xdr:to>
      <xdr:col>8</xdr:col>
      <xdr:colOff>242697</xdr:colOff>
      <xdr:row>36</xdr:row>
      <xdr:rowOff>185420</xdr:rowOff>
    </xdr:to>
    <xdr:cxnSp macro="_xll.PtreeEvent_ObjectClick">
      <xdr:nvCxnSpPr>
        <xdr:cNvPr id="215" name="PTObj_DBranchDLine_1_11"/>
        <xdr:cNvCxnSpPr/>
      </xdr:nvCxnSpPr>
      <xdr:spPr>
        <a:xfrm>
          <a:off x="9415272" y="6657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32</xdr:row>
      <xdr:rowOff>185420</xdr:rowOff>
    </xdr:from>
    <xdr:to>
      <xdr:col>9</xdr:col>
      <xdr:colOff>127</xdr:colOff>
      <xdr:row>32</xdr:row>
      <xdr:rowOff>185420</xdr:rowOff>
    </xdr:to>
    <xdr:cxnSp macro="_xll.PtreeEvent_ObjectClick">
      <xdr:nvCxnSpPr>
        <xdr:cNvPr id="212" name="PTObj_DBranchHLine_1_10"/>
        <xdr:cNvCxnSpPr/>
      </xdr:nvCxnSpPr>
      <xdr:spPr>
        <a:xfrm>
          <a:off x="9567672" y="6281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32</xdr:row>
      <xdr:rowOff>185420</xdr:rowOff>
    </xdr:from>
    <xdr:to>
      <xdr:col>8</xdr:col>
      <xdr:colOff>242697</xdr:colOff>
      <xdr:row>34</xdr:row>
      <xdr:rowOff>180339</xdr:rowOff>
    </xdr:to>
    <xdr:cxnSp macro="_xll.PtreeEvent_ObjectClick">
      <xdr:nvCxnSpPr>
        <xdr:cNvPr id="211" name="PTObj_DBranchDLine_1_10"/>
        <xdr:cNvCxnSpPr/>
      </xdr:nvCxnSpPr>
      <xdr:spPr>
        <a:xfrm flipV="1">
          <a:off x="9415272" y="6281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34</xdr:row>
      <xdr:rowOff>185420</xdr:rowOff>
    </xdr:from>
    <xdr:to>
      <xdr:col>8</xdr:col>
      <xdr:colOff>127</xdr:colOff>
      <xdr:row>34</xdr:row>
      <xdr:rowOff>185420</xdr:rowOff>
    </xdr:to>
    <xdr:cxnSp macro="_xll.PtreeEvent_ObjectClick">
      <xdr:nvCxnSpPr>
        <xdr:cNvPr id="208" name="PTObj_DBranchHLine_1_9"/>
        <xdr:cNvCxnSpPr/>
      </xdr:nvCxnSpPr>
      <xdr:spPr>
        <a:xfrm>
          <a:off x="7224522" y="6662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24</xdr:row>
      <xdr:rowOff>180340</xdr:rowOff>
    </xdr:from>
    <xdr:to>
      <xdr:col>7</xdr:col>
      <xdr:colOff>242697</xdr:colOff>
      <xdr:row>34</xdr:row>
      <xdr:rowOff>185420</xdr:rowOff>
    </xdr:to>
    <xdr:cxnSp macro="_xll.PtreeEvent_ObjectClick">
      <xdr:nvCxnSpPr>
        <xdr:cNvPr id="207" name="PTObj_DBranchDLine_1_9"/>
        <xdr:cNvCxnSpPr/>
      </xdr:nvCxnSpPr>
      <xdr:spPr>
        <a:xfrm>
          <a:off x="7072122" y="4752340"/>
          <a:ext cx="152400" cy="1910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30</xdr:row>
      <xdr:rowOff>185420</xdr:rowOff>
    </xdr:from>
    <xdr:to>
      <xdr:col>9</xdr:col>
      <xdr:colOff>127</xdr:colOff>
      <xdr:row>30</xdr:row>
      <xdr:rowOff>185420</xdr:rowOff>
    </xdr:to>
    <xdr:cxnSp macro="_xll.PtreeEvent_ObjectClick">
      <xdr:nvCxnSpPr>
        <xdr:cNvPr id="204" name="PTObj_DBranchHLine_1_8"/>
        <xdr:cNvCxnSpPr/>
      </xdr:nvCxnSpPr>
      <xdr:spPr>
        <a:xfrm>
          <a:off x="9567672" y="5900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28</xdr:row>
      <xdr:rowOff>180340</xdr:rowOff>
    </xdr:from>
    <xdr:to>
      <xdr:col>8</xdr:col>
      <xdr:colOff>242697</xdr:colOff>
      <xdr:row>30</xdr:row>
      <xdr:rowOff>185420</xdr:rowOff>
    </xdr:to>
    <xdr:cxnSp macro="_xll.PtreeEvent_ObjectClick">
      <xdr:nvCxnSpPr>
        <xdr:cNvPr id="203" name="PTObj_DBranchDLine_1_8"/>
        <xdr:cNvCxnSpPr/>
      </xdr:nvCxnSpPr>
      <xdr:spPr>
        <a:xfrm>
          <a:off x="9415272" y="5514340"/>
          <a:ext cx="152400" cy="386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26</xdr:row>
      <xdr:rowOff>185420</xdr:rowOff>
    </xdr:from>
    <xdr:to>
      <xdr:col>9</xdr:col>
      <xdr:colOff>127</xdr:colOff>
      <xdr:row>26</xdr:row>
      <xdr:rowOff>185420</xdr:rowOff>
    </xdr:to>
    <xdr:cxnSp macro="_xll.PtreeEvent_ObjectClick">
      <xdr:nvCxnSpPr>
        <xdr:cNvPr id="200" name="PTObj_DBranchHLine_1_7"/>
        <xdr:cNvCxnSpPr/>
      </xdr:nvCxnSpPr>
      <xdr:spPr>
        <a:xfrm>
          <a:off x="9567672" y="5138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26</xdr:row>
      <xdr:rowOff>185420</xdr:rowOff>
    </xdr:from>
    <xdr:to>
      <xdr:col>8</xdr:col>
      <xdr:colOff>242697</xdr:colOff>
      <xdr:row>28</xdr:row>
      <xdr:rowOff>180340</xdr:rowOff>
    </xdr:to>
    <xdr:cxnSp macro="_xll.PtreeEvent_ObjectClick">
      <xdr:nvCxnSpPr>
        <xdr:cNvPr id="199" name="PTObj_DBranchDLine_1_7"/>
        <xdr:cNvCxnSpPr/>
      </xdr:nvCxnSpPr>
      <xdr:spPr>
        <a:xfrm flipV="1">
          <a:off x="9415272" y="5138420"/>
          <a:ext cx="152400" cy="37592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28</xdr:row>
      <xdr:rowOff>185420</xdr:rowOff>
    </xdr:from>
    <xdr:to>
      <xdr:col>8</xdr:col>
      <xdr:colOff>127</xdr:colOff>
      <xdr:row>28</xdr:row>
      <xdr:rowOff>185420</xdr:rowOff>
    </xdr:to>
    <xdr:cxnSp macro="_xll.PtreeEvent_ObjectClick">
      <xdr:nvCxnSpPr>
        <xdr:cNvPr id="196" name="PTObj_DBranchHLine_1_6"/>
        <xdr:cNvCxnSpPr/>
      </xdr:nvCxnSpPr>
      <xdr:spPr>
        <a:xfrm>
          <a:off x="7224522" y="5519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24</xdr:row>
      <xdr:rowOff>180340</xdr:rowOff>
    </xdr:from>
    <xdr:to>
      <xdr:col>7</xdr:col>
      <xdr:colOff>242697</xdr:colOff>
      <xdr:row>28</xdr:row>
      <xdr:rowOff>185420</xdr:rowOff>
    </xdr:to>
    <xdr:cxnSp macro="_xll.PtreeEvent_ObjectClick">
      <xdr:nvCxnSpPr>
        <xdr:cNvPr id="195" name="PTObj_DBranchDLine_1_6"/>
        <xdr:cNvCxnSpPr/>
      </xdr:nvCxnSpPr>
      <xdr:spPr>
        <a:xfrm>
          <a:off x="7072122" y="4752340"/>
          <a:ext cx="152400" cy="767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22</xdr:row>
      <xdr:rowOff>185420</xdr:rowOff>
    </xdr:from>
    <xdr:to>
      <xdr:col>9</xdr:col>
      <xdr:colOff>127</xdr:colOff>
      <xdr:row>22</xdr:row>
      <xdr:rowOff>185420</xdr:rowOff>
    </xdr:to>
    <xdr:cxnSp macro="_xll.PtreeEvent_ObjectClick">
      <xdr:nvCxnSpPr>
        <xdr:cNvPr id="192" name="PTObj_DBranchHLine_1_5"/>
        <xdr:cNvCxnSpPr/>
      </xdr:nvCxnSpPr>
      <xdr:spPr>
        <a:xfrm>
          <a:off x="9567672" y="4376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20</xdr:row>
      <xdr:rowOff>180340</xdr:rowOff>
    </xdr:from>
    <xdr:to>
      <xdr:col>8</xdr:col>
      <xdr:colOff>242697</xdr:colOff>
      <xdr:row>22</xdr:row>
      <xdr:rowOff>185420</xdr:rowOff>
    </xdr:to>
    <xdr:cxnSp macro="_xll.PtreeEvent_ObjectClick">
      <xdr:nvCxnSpPr>
        <xdr:cNvPr id="191" name="PTObj_DBranchDLine_1_5"/>
        <xdr:cNvCxnSpPr/>
      </xdr:nvCxnSpPr>
      <xdr:spPr>
        <a:xfrm>
          <a:off x="9415272" y="3990340"/>
          <a:ext cx="152400" cy="386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18</xdr:row>
      <xdr:rowOff>185420</xdr:rowOff>
    </xdr:from>
    <xdr:to>
      <xdr:col>9</xdr:col>
      <xdr:colOff>127</xdr:colOff>
      <xdr:row>18</xdr:row>
      <xdr:rowOff>185420</xdr:rowOff>
    </xdr:to>
    <xdr:cxnSp macro="_xll.PtreeEvent_ObjectClick">
      <xdr:nvCxnSpPr>
        <xdr:cNvPr id="188" name="PTObj_DBranchHLine_1_4"/>
        <xdr:cNvCxnSpPr/>
      </xdr:nvCxnSpPr>
      <xdr:spPr>
        <a:xfrm>
          <a:off x="9567672" y="3614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18</xdr:row>
      <xdr:rowOff>185420</xdr:rowOff>
    </xdr:from>
    <xdr:to>
      <xdr:col>8</xdr:col>
      <xdr:colOff>242697</xdr:colOff>
      <xdr:row>20</xdr:row>
      <xdr:rowOff>180340</xdr:rowOff>
    </xdr:to>
    <xdr:cxnSp macro="_xll.PtreeEvent_ObjectClick">
      <xdr:nvCxnSpPr>
        <xdr:cNvPr id="187" name="PTObj_DBranchDLine_1_4"/>
        <xdr:cNvCxnSpPr/>
      </xdr:nvCxnSpPr>
      <xdr:spPr>
        <a:xfrm flipV="1">
          <a:off x="9415272" y="3614420"/>
          <a:ext cx="152400" cy="37592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20</xdr:row>
      <xdr:rowOff>185420</xdr:rowOff>
    </xdr:from>
    <xdr:to>
      <xdr:col>8</xdr:col>
      <xdr:colOff>127</xdr:colOff>
      <xdr:row>20</xdr:row>
      <xdr:rowOff>185420</xdr:rowOff>
    </xdr:to>
    <xdr:cxnSp macro="_xll.PtreeEvent_ObjectClick">
      <xdr:nvCxnSpPr>
        <xdr:cNvPr id="184" name="PTObj_DBranchHLine_1_3"/>
        <xdr:cNvCxnSpPr/>
      </xdr:nvCxnSpPr>
      <xdr:spPr>
        <a:xfrm>
          <a:off x="7224522" y="3995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20</xdr:row>
      <xdr:rowOff>185420</xdr:rowOff>
    </xdr:from>
    <xdr:to>
      <xdr:col>7</xdr:col>
      <xdr:colOff>242697</xdr:colOff>
      <xdr:row>24</xdr:row>
      <xdr:rowOff>180340</xdr:rowOff>
    </xdr:to>
    <xdr:cxnSp macro="_xll.PtreeEvent_ObjectClick">
      <xdr:nvCxnSpPr>
        <xdr:cNvPr id="183" name="PTObj_DBranchDLine_1_3"/>
        <xdr:cNvCxnSpPr/>
      </xdr:nvCxnSpPr>
      <xdr:spPr>
        <a:xfrm flipV="1">
          <a:off x="7072122" y="3995420"/>
          <a:ext cx="152400" cy="75692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127</xdr:colOff>
      <xdr:row>20</xdr:row>
      <xdr:rowOff>90170</xdr:rowOff>
    </xdr:from>
    <xdr:to>
      <xdr:col>8</xdr:col>
      <xdr:colOff>190627</xdr:colOff>
      <xdr:row>21</xdr:row>
      <xdr:rowOff>90170</xdr:rowOff>
    </xdr:to>
    <xdr:sp macro="_xll.PtreeEvent_ObjectClick" textlink="">
      <xdr:nvSpPr>
        <xdr:cNvPr id="182" name="PTObj_DNode_1_3"/>
        <xdr:cNvSpPr/>
      </xdr:nvSpPr>
      <xdr:spPr>
        <a:xfrm>
          <a:off x="9325102" y="3900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20</xdr:row>
      <xdr:rowOff>95107</xdr:rowOff>
    </xdr:from>
    <xdr:ext cx="935769" cy="180627"/>
    <xdr:sp macro="_xll.PtreeEvent_ObjectClick" textlink="">
      <xdr:nvSpPr>
        <xdr:cNvPr id="185" name="PTObj_DBranchName_1_3"/>
        <xdr:cNvSpPr txBox="1"/>
      </xdr:nvSpPr>
      <xdr:spPr>
        <a:xfrm>
          <a:off x="7262622" y="3905107"/>
          <a:ext cx="935769"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- 20% Prob</a:t>
          </a:r>
        </a:p>
      </xdr:txBody>
    </xdr:sp>
    <xdr:clientData/>
  </xdr:oneCellAnchor>
  <xdr:twoCellAnchor editAs="oneCell">
    <xdr:from>
      <xdr:col>9</xdr:col>
      <xdr:colOff>127</xdr:colOff>
      <xdr:row>18</xdr:row>
      <xdr:rowOff>90170</xdr:rowOff>
    </xdr:from>
    <xdr:to>
      <xdr:col>9</xdr:col>
      <xdr:colOff>190627</xdr:colOff>
      <xdr:row>19</xdr:row>
      <xdr:rowOff>90170</xdr:rowOff>
    </xdr:to>
    <xdr:sp macro="_xll.PtreeEvent_ObjectClick" textlink="">
      <xdr:nvSpPr>
        <xdr:cNvPr id="186" name="PTObj_DNode_1_4"/>
        <xdr:cNvSpPr/>
      </xdr:nvSpPr>
      <xdr:spPr>
        <a:xfrm rot="-5400000">
          <a:off x="11430127" y="3519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18</xdr:row>
      <xdr:rowOff>95107</xdr:rowOff>
    </xdr:from>
    <xdr:ext cx="460511" cy="180627"/>
    <xdr:sp macro="_xll.PtreeEvent_ObjectClick" textlink="">
      <xdr:nvSpPr>
        <xdr:cNvPr id="189" name="PTObj_DBranchName_1_4"/>
        <xdr:cNvSpPr txBox="1"/>
      </xdr:nvSpPr>
      <xdr:spPr>
        <a:xfrm>
          <a:off x="9605772" y="3524107"/>
          <a:ext cx="460511"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22</xdr:row>
      <xdr:rowOff>90170</xdr:rowOff>
    </xdr:from>
    <xdr:to>
      <xdr:col>9</xdr:col>
      <xdr:colOff>190627</xdr:colOff>
      <xdr:row>23</xdr:row>
      <xdr:rowOff>90170</xdr:rowOff>
    </xdr:to>
    <xdr:sp macro="_xll.PtreeEvent_ObjectClick" textlink="">
      <xdr:nvSpPr>
        <xdr:cNvPr id="190" name="PTObj_DNode_1_5"/>
        <xdr:cNvSpPr/>
      </xdr:nvSpPr>
      <xdr:spPr>
        <a:xfrm rot="-5400000">
          <a:off x="11430127" y="4281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22</xdr:row>
      <xdr:rowOff>95107</xdr:rowOff>
    </xdr:from>
    <xdr:ext cx="604075" cy="180627"/>
    <xdr:sp macro="_xll.PtreeEvent_ObjectClick" textlink="">
      <xdr:nvSpPr>
        <xdr:cNvPr id="193" name="PTObj_DBranchName_1_5"/>
        <xdr:cNvSpPr txBox="1"/>
      </xdr:nvSpPr>
      <xdr:spPr>
        <a:xfrm>
          <a:off x="9605772" y="4286107"/>
          <a:ext cx="604075"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8</xdr:col>
      <xdr:colOff>127</xdr:colOff>
      <xdr:row>28</xdr:row>
      <xdr:rowOff>90170</xdr:rowOff>
    </xdr:from>
    <xdr:to>
      <xdr:col>8</xdr:col>
      <xdr:colOff>190627</xdr:colOff>
      <xdr:row>29</xdr:row>
      <xdr:rowOff>90170</xdr:rowOff>
    </xdr:to>
    <xdr:sp macro="_xll.PtreeEvent_ObjectClick" textlink="">
      <xdr:nvSpPr>
        <xdr:cNvPr id="194" name="PTObj_DNode_1_6"/>
        <xdr:cNvSpPr/>
      </xdr:nvSpPr>
      <xdr:spPr>
        <a:xfrm>
          <a:off x="9325102" y="5424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28</xdr:row>
      <xdr:rowOff>95107</xdr:rowOff>
    </xdr:from>
    <xdr:ext cx="715709" cy="180627"/>
    <xdr:sp macro="_xll.PtreeEvent_ObjectClick" textlink="">
      <xdr:nvSpPr>
        <xdr:cNvPr id="197" name="PTObj_DBranchName_1_6"/>
        <xdr:cNvSpPr txBox="1"/>
      </xdr:nvSpPr>
      <xdr:spPr>
        <a:xfrm>
          <a:off x="7262622" y="5429107"/>
          <a:ext cx="715709"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- 30%</a:t>
          </a:r>
        </a:p>
      </xdr:txBody>
    </xdr:sp>
    <xdr:clientData/>
  </xdr:oneCellAnchor>
  <xdr:twoCellAnchor editAs="oneCell">
    <xdr:from>
      <xdr:col>9</xdr:col>
      <xdr:colOff>127</xdr:colOff>
      <xdr:row>26</xdr:row>
      <xdr:rowOff>90170</xdr:rowOff>
    </xdr:from>
    <xdr:to>
      <xdr:col>9</xdr:col>
      <xdr:colOff>190627</xdr:colOff>
      <xdr:row>27</xdr:row>
      <xdr:rowOff>90170</xdr:rowOff>
    </xdr:to>
    <xdr:sp macro="_xll.PtreeEvent_ObjectClick" textlink="">
      <xdr:nvSpPr>
        <xdr:cNvPr id="198" name="PTObj_DNode_1_7"/>
        <xdr:cNvSpPr/>
      </xdr:nvSpPr>
      <xdr:spPr>
        <a:xfrm rot="-5400000">
          <a:off x="11430127" y="5043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26</xdr:row>
      <xdr:rowOff>95107</xdr:rowOff>
    </xdr:from>
    <xdr:ext cx="460511" cy="180627"/>
    <xdr:sp macro="_xll.PtreeEvent_ObjectClick" textlink="">
      <xdr:nvSpPr>
        <xdr:cNvPr id="201" name="PTObj_DBranchName_1_7"/>
        <xdr:cNvSpPr txBox="1"/>
      </xdr:nvSpPr>
      <xdr:spPr>
        <a:xfrm>
          <a:off x="9605772" y="5048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30</xdr:row>
      <xdr:rowOff>90170</xdr:rowOff>
    </xdr:from>
    <xdr:to>
      <xdr:col>9</xdr:col>
      <xdr:colOff>190627</xdr:colOff>
      <xdr:row>31</xdr:row>
      <xdr:rowOff>90170</xdr:rowOff>
    </xdr:to>
    <xdr:sp macro="_xll.PtreeEvent_ObjectClick" textlink="">
      <xdr:nvSpPr>
        <xdr:cNvPr id="202" name="PTObj_DNode_1_8"/>
        <xdr:cNvSpPr/>
      </xdr:nvSpPr>
      <xdr:spPr>
        <a:xfrm rot="-5400000">
          <a:off x="11430127" y="5805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30</xdr:row>
      <xdr:rowOff>95107</xdr:rowOff>
    </xdr:from>
    <xdr:ext cx="604075" cy="180627"/>
    <xdr:sp macro="_xll.PtreeEvent_ObjectClick" textlink="">
      <xdr:nvSpPr>
        <xdr:cNvPr id="205" name="PTObj_DBranchName_1_8"/>
        <xdr:cNvSpPr txBox="1"/>
      </xdr:nvSpPr>
      <xdr:spPr>
        <a:xfrm>
          <a:off x="9605772" y="5810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8</xdr:col>
      <xdr:colOff>127</xdr:colOff>
      <xdr:row>34</xdr:row>
      <xdr:rowOff>90170</xdr:rowOff>
    </xdr:from>
    <xdr:to>
      <xdr:col>8</xdr:col>
      <xdr:colOff>190627</xdr:colOff>
      <xdr:row>35</xdr:row>
      <xdr:rowOff>90170</xdr:rowOff>
    </xdr:to>
    <xdr:sp macro="_xll.PtreeEvent_ObjectClick" textlink="">
      <xdr:nvSpPr>
        <xdr:cNvPr id="206" name="PTObj_DNode_1_9"/>
        <xdr:cNvSpPr/>
      </xdr:nvSpPr>
      <xdr:spPr>
        <a:xfrm>
          <a:off x="9325102" y="6567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34</xdr:row>
      <xdr:rowOff>95107</xdr:rowOff>
    </xdr:from>
    <xdr:ext cx="604075" cy="180627"/>
    <xdr:sp macro="_xll.PtreeEvent_ObjectClick" textlink="">
      <xdr:nvSpPr>
        <xdr:cNvPr id="209" name="PTObj_DBranchName_1_9"/>
        <xdr:cNvSpPr txBox="1"/>
      </xdr:nvSpPr>
      <xdr:spPr>
        <a:xfrm>
          <a:off x="7262622" y="6572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32</xdr:row>
      <xdr:rowOff>90170</xdr:rowOff>
    </xdr:from>
    <xdr:to>
      <xdr:col>9</xdr:col>
      <xdr:colOff>190627</xdr:colOff>
      <xdr:row>33</xdr:row>
      <xdr:rowOff>90170</xdr:rowOff>
    </xdr:to>
    <xdr:sp macro="_xll.PtreeEvent_ObjectClick" textlink="">
      <xdr:nvSpPr>
        <xdr:cNvPr id="210" name="PTObj_DNode_1_10"/>
        <xdr:cNvSpPr/>
      </xdr:nvSpPr>
      <xdr:spPr>
        <a:xfrm rot="-5400000">
          <a:off x="11430127" y="6186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32</xdr:row>
      <xdr:rowOff>95107</xdr:rowOff>
    </xdr:from>
    <xdr:ext cx="460511" cy="180627"/>
    <xdr:sp macro="_xll.PtreeEvent_ObjectClick" textlink="">
      <xdr:nvSpPr>
        <xdr:cNvPr id="213" name="PTObj_DBranchName_1_10"/>
        <xdr:cNvSpPr txBox="1"/>
      </xdr:nvSpPr>
      <xdr:spPr>
        <a:xfrm>
          <a:off x="9605772" y="6191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36</xdr:row>
      <xdr:rowOff>90170</xdr:rowOff>
    </xdr:from>
    <xdr:to>
      <xdr:col>9</xdr:col>
      <xdr:colOff>190627</xdr:colOff>
      <xdr:row>37</xdr:row>
      <xdr:rowOff>90170</xdr:rowOff>
    </xdr:to>
    <xdr:sp macro="_xll.PtreeEvent_ObjectClick" textlink="">
      <xdr:nvSpPr>
        <xdr:cNvPr id="214" name="PTObj_DNode_1_11"/>
        <xdr:cNvSpPr/>
      </xdr:nvSpPr>
      <xdr:spPr>
        <a:xfrm rot="-5400000">
          <a:off x="11430127" y="6948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36</xdr:row>
      <xdr:rowOff>95107</xdr:rowOff>
    </xdr:from>
    <xdr:ext cx="604075" cy="180627"/>
    <xdr:sp macro="_xll.PtreeEvent_ObjectClick" textlink="">
      <xdr:nvSpPr>
        <xdr:cNvPr id="217" name="PTObj_DBranchName_1_11"/>
        <xdr:cNvSpPr txBox="1"/>
      </xdr:nvSpPr>
      <xdr:spPr>
        <a:xfrm>
          <a:off x="9605772" y="6953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40</xdr:row>
      <xdr:rowOff>90170</xdr:rowOff>
    </xdr:from>
    <xdr:to>
      <xdr:col>9</xdr:col>
      <xdr:colOff>190627</xdr:colOff>
      <xdr:row>41</xdr:row>
      <xdr:rowOff>90170</xdr:rowOff>
    </xdr:to>
    <xdr:sp macro="_xll.PtreeEvent_ObjectClick" textlink="">
      <xdr:nvSpPr>
        <xdr:cNvPr id="226" name="PTObj_DNode_1_14"/>
        <xdr:cNvSpPr/>
      </xdr:nvSpPr>
      <xdr:spPr>
        <a:xfrm rot="-5400000">
          <a:off x="11430127" y="7710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40</xdr:row>
      <xdr:rowOff>95107</xdr:rowOff>
    </xdr:from>
    <xdr:ext cx="460511" cy="180627"/>
    <xdr:sp macro="_xll.PtreeEvent_ObjectClick" textlink="">
      <xdr:nvSpPr>
        <xdr:cNvPr id="229" name="PTObj_DBranchName_1_14"/>
        <xdr:cNvSpPr txBox="1"/>
      </xdr:nvSpPr>
      <xdr:spPr>
        <a:xfrm>
          <a:off x="9605772" y="7715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44</xdr:row>
      <xdr:rowOff>90170</xdr:rowOff>
    </xdr:from>
    <xdr:to>
      <xdr:col>9</xdr:col>
      <xdr:colOff>190627</xdr:colOff>
      <xdr:row>45</xdr:row>
      <xdr:rowOff>90170</xdr:rowOff>
    </xdr:to>
    <xdr:sp macro="_xll.PtreeEvent_ObjectClick" textlink="">
      <xdr:nvSpPr>
        <xdr:cNvPr id="230" name="PTObj_DNode_1_15"/>
        <xdr:cNvSpPr/>
      </xdr:nvSpPr>
      <xdr:spPr>
        <a:xfrm rot="-5400000">
          <a:off x="11430127" y="8472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44</xdr:row>
      <xdr:rowOff>95107</xdr:rowOff>
    </xdr:from>
    <xdr:ext cx="604075" cy="180627"/>
    <xdr:sp macro="_xll.PtreeEvent_ObjectClick" textlink="">
      <xdr:nvSpPr>
        <xdr:cNvPr id="233" name="PTObj_DBranchName_1_15"/>
        <xdr:cNvSpPr txBox="1"/>
      </xdr:nvSpPr>
      <xdr:spPr>
        <a:xfrm>
          <a:off x="9605772" y="8477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48</xdr:row>
      <xdr:rowOff>90170</xdr:rowOff>
    </xdr:from>
    <xdr:to>
      <xdr:col>9</xdr:col>
      <xdr:colOff>190627</xdr:colOff>
      <xdr:row>49</xdr:row>
      <xdr:rowOff>90170</xdr:rowOff>
    </xdr:to>
    <xdr:sp macro="_xll.PtreeEvent_ObjectClick" textlink="">
      <xdr:nvSpPr>
        <xdr:cNvPr id="238" name="PTObj_DNode_1_17"/>
        <xdr:cNvSpPr/>
      </xdr:nvSpPr>
      <xdr:spPr>
        <a:xfrm rot="-5400000">
          <a:off x="11430127" y="9234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48</xdr:row>
      <xdr:rowOff>95107</xdr:rowOff>
    </xdr:from>
    <xdr:ext cx="460511" cy="180627"/>
    <xdr:sp macro="_xll.PtreeEvent_ObjectClick" textlink="">
      <xdr:nvSpPr>
        <xdr:cNvPr id="241" name="PTObj_DBranchName_1_17"/>
        <xdr:cNvSpPr txBox="1"/>
      </xdr:nvSpPr>
      <xdr:spPr>
        <a:xfrm>
          <a:off x="9605772" y="9239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52</xdr:row>
      <xdr:rowOff>90170</xdr:rowOff>
    </xdr:from>
    <xdr:to>
      <xdr:col>9</xdr:col>
      <xdr:colOff>190627</xdr:colOff>
      <xdr:row>53</xdr:row>
      <xdr:rowOff>90170</xdr:rowOff>
    </xdr:to>
    <xdr:sp macro="_xll.PtreeEvent_ObjectClick" textlink="">
      <xdr:nvSpPr>
        <xdr:cNvPr id="242" name="PTObj_DNode_1_18"/>
        <xdr:cNvSpPr/>
      </xdr:nvSpPr>
      <xdr:spPr>
        <a:xfrm rot="-5400000">
          <a:off x="11430127" y="9996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52</xdr:row>
      <xdr:rowOff>95107</xdr:rowOff>
    </xdr:from>
    <xdr:ext cx="604075" cy="180627"/>
    <xdr:sp macro="_xll.PtreeEvent_ObjectClick" textlink="">
      <xdr:nvSpPr>
        <xdr:cNvPr id="245" name="PTObj_DBranchName_1_18"/>
        <xdr:cNvSpPr txBox="1"/>
      </xdr:nvSpPr>
      <xdr:spPr>
        <a:xfrm>
          <a:off x="9605772" y="10001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54</xdr:row>
      <xdr:rowOff>90170</xdr:rowOff>
    </xdr:from>
    <xdr:to>
      <xdr:col>9</xdr:col>
      <xdr:colOff>190627</xdr:colOff>
      <xdr:row>55</xdr:row>
      <xdr:rowOff>90170</xdr:rowOff>
    </xdr:to>
    <xdr:sp macro="_xll.PtreeEvent_ObjectClick" textlink="">
      <xdr:nvSpPr>
        <xdr:cNvPr id="250" name="PTObj_DNode_1_20"/>
        <xdr:cNvSpPr/>
      </xdr:nvSpPr>
      <xdr:spPr>
        <a:xfrm rot="-5400000">
          <a:off x="11430127" y="10377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54</xdr:row>
      <xdr:rowOff>95107</xdr:rowOff>
    </xdr:from>
    <xdr:ext cx="460511" cy="180627"/>
    <xdr:sp macro="_xll.PtreeEvent_ObjectClick" textlink="">
      <xdr:nvSpPr>
        <xdr:cNvPr id="253" name="PTObj_DBranchName_1_20"/>
        <xdr:cNvSpPr txBox="1"/>
      </xdr:nvSpPr>
      <xdr:spPr>
        <a:xfrm>
          <a:off x="9605772" y="10382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58</xdr:row>
      <xdr:rowOff>90170</xdr:rowOff>
    </xdr:from>
    <xdr:to>
      <xdr:col>9</xdr:col>
      <xdr:colOff>190627</xdr:colOff>
      <xdr:row>59</xdr:row>
      <xdr:rowOff>90170</xdr:rowOff>
    </xdr:to>
    <xdr:sp macro="_xll.PtreeEvent_ObjectClick" textlink="">
      <xdr:nvSpPr>
        <xdr:cNvPr id="254" name="PTObj_DNode_1_21"/>
        <xdr:cNvSpPr/>
      </xdr:nvSpPr>
      <xdr:spPr>
        <a:xfrm rot="-5400000">
          <a:off x="11430127" y="11139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58</xdr:row>
      <xdr:rowOff>95107</xdr:rowOff>
    </xdr:from>
    <xdr:ext cx="604075" cy="180627"/>
    <xdr:sp macro="_xll.PtreeEvent_ObjectClick" textlink="">
      <xdr:nvSpPr>
        <xdr:cNvPr id="257" name="PTObj_DBranchName_1_21"/>
        <xdr:cNvSpPr txBox="1"/>
      </xdr:nvSpPr>
      <xdr:spPr>
        <a:xfrm>
          <a:off x="9605772" y="11144107"/>
          <a:ext cx="604075"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60</xdr:row>
      <xdr:rowOff>90170</xdr:rowOff>
    </xdr:from>
    <xdr:to>
      <xdr:col>9</xdr:col>
      <xdr:colOff>190627</xdr:colOff>
      <xdr:row>61</xdr:row>
      <xdr:rowOff>90170</xdr:rowOff>
    </xdr:to>
    <xdr:sp macro="_xll.PtreeEvent_ObjectClick" textlink="">
      <xdr:nvSpPr>
        <xdr:cNvPr id="266" name="PTObj_DNode_1_24"/>
        <xdr:cNvSpPr/>
      </xdr:nvSpPr>
      <xdr:spPr>
        <a:xfrm rot="-5400000">
          <a:off x="11430127" y="11520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60</xdr:row>
      <xdr:rowOff>95107</xdr:rowOff>
    </xdr:from>
    <xdr:ext cx="460511" cy="180627"/>
    <xdr:sp macro="_xll.PtreeEvent_ObjectClick" textlink="">
      <xdr:nvSpPr>
        <xdr:cNvPr id="269" name="PTObj_DBranchName_1_24"/>
        <xdr:cNvSpPr txBox="1"/>
      </xdr:nvSpPr>
      <xdr:spPr>
        <a:xfrm>
          <a:off x="9605772" y="11525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64</xdr:row>
      <xdr:rowOff>90170</xdr:rowOff>
    </xdr:from>
    <xdr:to>
      <xdr:col>9</xdr:col>
      <xdr:colOff>190627</xdr:colOff>
      <xdr:row>65</xdr:row>
      <xdr:rowOff>90170</xdr:rowOff>
    </xdr:to>
    <xdr:sp macro="_xll.PtreeEvent_ObjectClick" textlink="">
      <xdr:nvSpPr>
        <xdr:cNvPr id="270" name="PTObj_DNode_1_25"/>
        <xdr:cNvSpPr/>
      </xdr:nvSpPr>
      <xdr:spPr>
        <a:xfrm rot="-5400000">
          <a:off x="11430127" y="12282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64</xdr:row>
      <xdr:rowOff>95107</xdr:rowOff>
    </xdr:from>
    <xdr:ext cx="604075" cy="180627"/>
    <xdr:sp macro="_xll.PtreeEvent_ObjectClick" textlink="">
      <xdr:nvSpPr>
        <xdr:cNvPr id="273" name="PTObj_DBranchName_1_25"/>
        <xdr:cNvSpPr txBox="1"/>
      </xdr:nvSpPr>
      <xdr:spPr>
        <a:xfrm>
          <a:off x="9605772" y="12287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74</xdr:row>
      <xdr:rowOff>90170</xdr:rowOff>
    </xdr:from>
    <xdr:to>
      <xdr:col>9</xdr:col>
      <xdr:colOff>190627</xdr:colOff>
      <xdr:row>75</xdr:row>
      <xdr:rowOff>90170</xdr:rowOff>
    </xdr:to>
    <xdr:sp macro="_xll.PtreeEvent_ObjectClick" textlink="">
      <xdr:nvSpPr>
        <xdr:cNvPr id="278" name="PTObj_DNode_1_27"/>
        <xdr:cNvSpPr/>
      </xdr:nvSpPr>
      <xdr:spPr>
        <a:xfrm rot="-5400000">
          <a:off x="11430127" y="13044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74</xdr:row>
      <xdr:rowOff>95106</xdr:rowOff>
    </xdr:from>
    <xdr:ext cx="460511" cy="180627"/>
    <xdr:sp macro="_xll.PtreeEvent_ObjectClick" textlink="">
      <xdr:nvSpPr>
        <xdr:cNvPr id="281" name="PTObj_DBranchName_1_27"/>
        <xdr:cNvSpPr txBox="1"/>
      </xdr:nvSpPr>
      <xdr:spPr>
        <a:xfrm>
          <a:off x="9605772" y="13049106"/>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78</xdr:row>
      <xdr:rowOff>90170</xdr:rowOff>
    </xdr:from>
    <xdr:to>
      <xdr:col>9</xdr:col>
      <xdr:colOff>190627</xdr:colOff>
      <xdr:row>79</xdr:row>
      <xdr:rowOff>90170</xdr:rowOff>
    </xdr:to>
    <xdr:sp macro="_xll.PtreeEvent_ObjectClick" textlink="">
      <xdr:nvSpPr>
        <xdr:cNvPr id="282" name="PTObj_DNode_1_28"/>
        <xdr:cNvSpPr/>
      </xdr:nvSpPr>
      <xdr:spPr>
        <a:xfrm rot="-5400000">
          <a:off x="11430127" y="13806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78</xdr:row>
      <xdr:rowOff>95106</xdr:rowOff>
    </xdr:from>
    <xdr:ext cx="604075" cy="180627"/>
    <xdr:sp macro="_xll.PtreeEvent_ObjectClick" textlink="">
      <xdr:nvSpPr>
        <xdr:cNvPr id="285" name="PTObj_DBranchName_1_28"/>
        <xdr:cNvSpPr txBox="1"/>
      </xdr:nvSpPr>
      <xdr:spPr>
        <a:xfrm>
          <a:off x="9605772" y="13811106"/>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68</xdr:row>
      <xdr:rowOff>90170</xdr:rowOff>
    </xdr:from>
    <xdr:to>
      <xdr:col>9</xdr:col>
      <xdr:colOff>190627</xdr:colOff>
      <xdr:row>69</xdr:row>
      <xdr:rowOff>90170</xdr:rowOff>
    </xdr:to>
    <xdr:sp macro="_xll.PtreeEvent_ObjectClick" textlink="">
      <xdr:nvSpPr>
        <xdr:cNvPr id="290" name="PTObj_DNode_1_30"/>
        <xdr:cNvSpPr/>
      </xdr:nvSpPr>
      <xdr:spPr>
        <a:xfrm rot="-5400000">
          <a:off x="11430127" y="14187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68</xdr:row>
      <xdr:rowOff>95106</xdr:rowOff>
    </xdr:from>
    <xdr:ext cx="460511" cy="180627"/>
    <xdr:sp macro="_xll.PtreeEvent_ObjectClick" textlink="">
      <xdr:nvSpPr>
        <xdr:cNvPr id="293" name="PTObj_DBranchName_1_30"/>
        <xdr:cNvSpPr txBox="1"/>
      </xdr:nvSpPr>
      <xdr:spPr>
        <a:xfrm>
          <a:off x="9605772" y="14192106"/>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72</xdr:row>
      <xdr:rowOff>90170</xdr:rowOff>
    </xdr:from>
    <xdr:to>
      <xdr:col>9</xdr:col>
      <xdr:colOff>190627</xdr:colOff>
      <xdr:row>73</xdr:row>
      <xdr:rowOff>90170</xdr:rowOff>
    </xdr:to>
    <xdr:sp macro="_xll.PtreeEvent_ObjectClick" textlink="">
      <xdr:nvSpPr>
        <xdr:cNvPr id="294" name="PTObj_DNode_1_31"/>
        <xdr:cNvSpPr/>
      </xdr:nvSpPr>
      <xdr:spPr>
        <a:xfrm rot="-5400000">
          <a:off x="11430127" y="14949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72</xdr:row>
      <xdr:rowOff>95106</xdr:rowOff>
    </xdr:from>
    <xdr:ext cx="604075" cy="180627"/>
    <xdr:sp macro="_xll.PtreeEvent_ObjectClick" textlink="">
      <xdr:nvSpPr>
        <xdr:cNvPr id="297" name="PTObj_DBranchName_1_31"/>
        <xdr:cNvSpPr txBox="1"/>
      </xdr:nvSpPr>
      <xdr:spPr>
        <a:xfrm>
          <a:off x="9605772" y="14954106"/>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8</xdr:col>
      <xdr:colOff>127</xdr:colOff>
      <xdr:row>42</xdr:row>
      <xdr:rowOff>90170</xdr:rowOff>
    </xdr:from>
    <xdr:to>
      <xdr:col>8</xdr:col>
      <xdr:colOff>190627</xdr:colOff>
      <xdr:row>43</xdr:row>
      <xdr:rowOff>90170</xdr:rowOff>
    </xdr:to>
    <xdr:sp macro="_xll.PtreeEvent_ObjectClick" textlink="">
      <xdr:nvSpPr>
        <xdr:cNvPr id="314" name="PTObj_DNode_1_13"/>
        <xdr:cNvSpPr/>
      </xdr:nvSpPr>
      <xdr:spPr>
        <a:xfrm>
          <a:off x="10029952" y="8091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42</xdr:row>
      <xdr:rowOff>95107</xdr:rowOff>
    </xdr:from>
    <xdr:ext cx="935769" cy="180627"/>
    <xdr:sp macro="_xll.PtreeEvent_ObjectClick" textlink="">
      <xdr:nvSpPr>
        <xdr:cNvPr id="317" name="PTObj_DBranchName_1_13"/>
        <xdr:cNvSpPr txBox="1"/>
      </xdr:nvSpPr>
      <xdr:spPr>
        <a:xfrm>
          <a:off x="7967472" y="8096107"/>
          <a:ext cx="935769"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- 20% Prob</a:t>
          </a:r>
        </a:p>
      </xdr:txBody>
    </xdr:sp>
    <xdr:clientData/>
  </xdr:oneCellAnchor>
  <xdr:twoCellAnchor editAs="oneCell">
    <xdr:from>
      <xdr:col>8</xdr:col>
      <xdr:colOff>127</xdr:colOff>
      <xdr:row>50</xdr:row>
      <xdr:rowOff>90170</xdr:rowOff>
    </xdr:from>
    <xdr:to>
      <xdr:col>8</xdr:col>
      <xdr:colOff>190627</xdr:colOff>
      <xdr:row>51</xdr:row>
      <xdr:rowOff>90170</xdr:rowOff>
    </xdr:to>
    <xdr:sp macro="_xll.PtreeEvent_ObjectClick" textlink="">
      <xdr:nvSpPr>
        <xdr:cNvPr id="318" name="PTObj_DNode_1_16"/>
        <xdr:cNvSpPr/>
      </xdr:nvSpPr>
      <xdr:spPr>
        <a:xfrm>
          <a:off x="10029952" y="9615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50</xdr:row>
      <xdr:rowOff>95107</xdr:rowOff>
    </xdr:from>
    <xdr:ext cx="715709" cy="180627"/>
    <xdr:sp macro="_xll.PtreeEvent_ObjectClick" textlink="">
      <xdr:nvSpPr>
        <xdr:cNvPr id="321" name="PTObj_DBranchName_1_16"/>
        <xdr:cNvSpPr txBox="1"/>
      </xdr:nvSpPr>
      <xdr:spPr>
        <a:xfrm>
          <a:off x="7967472" y="9620107"/>
          <a:ext cx="715709"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- 30%</a:t>
          </a:r>
        </a:p>
      </xdr:txBody>
    </xdr:sp>
    <xdr:clientData/>
  </xdr:oneCellAnchor>
  <xdr:twoCellAnchor editAs="oneCell">
    <xdr:from>
      <xdr:col>8</xdr:col>
      <xdr:colOff>127</xdr:colOff>
      <xdr:row>56</xdr:row>
      <xdr:rowOff>90170</xdr:rowOff>
    </xdr:from>
    <xdr:to>
      <xdr:col>8</xdr:col>
      <xdr:colOff>190627</xdr:colOff>
      <xdr:row>57</xdr:row>
      <xdr:rowOff>90170</xdr:rowOff>
    </xdr:to>
    <xdr:sp macro="_xll.PtreeEvent_ObjectClick" textlink="">
      <xdr:nvSpPr>
        <xdr:cNvPr id="322" name="PTObj_DNode_1_19"/>
        <xdr:cNvSpPr/>
      </xdr:nvSpPr>
      <xdr:spPr>
        <a:xfrm>
          <a:off x="10029952" y="10758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56</xdr:row>
      <xdr:rowOff>95107</xdr:rowOff>
    </xdr:from>
    <xdr:ext cx="604075" cy="180627"/>
    <xdr:sp macro="_xll.PtreeEvent_ObjectClick" textlink="">
      <xdr:nvSpPr>
        <xdr:cNvPr id="325" name="PTObj_DBranchName_1_19"/>
        <xdr:cNvSpPr txBox="1"/>
      </xdr:nvSpPr>
      <xdr:spPr>
        <a:xfrm>
          <a:off x="7967472" y="10763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8</xdr:col>
      <xdr:colOff>127</xdr:colOff>
      <xdr:row>62</xdr:row>
      <xdr:rowOff>90170</xdr:rowOff>
    </xdr:from>
    <xdr:to>
      <xdr:col>8</xdr:col>
      <xdr:colOff>190627</xdr:colOff>
      <xdr:row>63</xdr:row>
      <xdr:rowOff>90170</xdr:rowOff>
    </xdr:to>
    <xdr:sp macro="_xll.PtreeEvent_ObjectClick" textlink="">
      <xdr:nvSpPr>
        <xdr:cNvPr id="330" name="PTObj_DNode_1_23"/>
        <xdr:cNvSpPr/>
      </xdr:nvSpPr>
      <xdr:spPr>
        <a:xfrm>
          <a:off x="10029952" y="11901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62</xdr:row>
      <xdr:rowOff>95107</xdr:rowOff>
    </xdr:from>
    <xdr:ext cx="935769" cy="180627"/>
    <xdr:sp macro="_xll.PtreeEvent_ObjectClick" textlink="">
      <xdr:nvSpPr>
        <xdr:cNvPr id="333" name="PTObj_DBranchName_1_23"/>
        <xdr:cNvSpPr txBox="1"/>
      </xdr:nvSpPr>
      <xdr:spPr>
        <a:xfrm>
          <a:off x="7967472" y="11906107"/>
          <a:ext cx="935769"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- 20% Prob</a:t>
          </a:r>
        </a:p>
      </xdr:txBody>
    </xdr:sp>
    <xdr:clientData/>
  </xdr:oneCellAnchor>
  <xdr:twoCellAnchor editAs="oneCell">
    <xdr:from>
      <xdr:col>8</xdr:col>
      <xdr:colOff>127</xdr:colOff>
      <xdr:row>70</xdr:row>
      <xdr:rowOff>90170</xdr:rowOff>
    </xdr:from>
    <xdr:to>
      <xdr:col>8</xdr:col>
      <xdr:colOff>190627</xdr:colOff>
      <xdr:row>71</xdr:row>
      <xdr:rowOff>90170</xdr:rowOff>
    </xdr:to>
    <xdr:sp macro="_xll.PtreeEvent_ObjectClick" textlink="">
      <xdr:nvSpPr>
        <xdr:cNvPr id="334" name="PTObj_DNode_1_29"/>
        <xdr:cNvSpPr/>
      </xdr:nvSpPr>
      <xdr:spPr>
        <a:xfrm>
          <a:off x="10029952" y="13425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70</xdr:row>
      <xdr:rowOff>95106</xdr:rowOff>
    </xdr:from>
    <xdr:ext cx="935770" cy="180627"/>
    <xdr:sp macro="_xll.PtreeEvent_ObjectClick" textlink="">
      <xdr:nvSpPr>
        <xdr:cNvPr id="337" name="PTObj_DBranchName_1_29"/>
        <xdr:cNvSpPr txBox="1"/>
      </xdr:nvSpPr>
      <xdr:spPr>
        <a:xfrm>
          <a:off x="7967472" y="13430106"/>
          <a:ext cx="935770"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- 30% Prob</a:t>
          </a:r>
        </a:p>
      </xdr:txBody>
    </xdr:sp>
    <xdr:clientData/>
  </xdr:oneCellAnchor>
  <xdr:twoCellAnchor editAs="oneCell">
    <xdr:from>
      <xdr:col>8</xdr:col>
      <xdr:colOff>127</xdr:colOff>
      <xdr:row>76</xdr:row>
      <xdr:rowOff>90170</xdr:rowOff>
    </xdr:from>
    <xdr:to>
      <xdr:col>8</xdr:col>
      <xdr:colOff>190627</xdr:colOff>
      <xdr:row>77</xdr:row>
      <xdr:rowOff>90170</xdr:rowOff>
    </xdr:to>
    <xdr:sp macro="_xll.PtreeEvent_ObjectClick" textlink="">
      <xdr:nvSpPr>
        <xdr:cNvPr id="338" name="PTObj_DNode_1_26"/>
        <xdr:cNvSpPr/>
      </xdr:nvSpPr>
      <xdr:spPr>
        <a:xfrm>
          <a:off x="10029952" y="14568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7</xdr:col>
      <xdr:colOff>127</xdr:colOff>
      <xdr:row>24</xdr:row>
      <xdr:rowOff>90170</xdr:rowOff>
    </xdr:from>
    <xdr:to>
      <xdr:col>7</xdr:col>
      <xdr:colOff>190627</xdr:colOff>
      <xdr:row>25</xdr:row>
      <xdr:rowOff>90170</xdr:rowOff>
    </xdr:to>
    <xdr:sp macro="_xll.PtreeEvent_ObjectClick" textlink="">
      <xdr:nvSpPr>
        <xdr:cNvPr id="361" name="PTObj_DNode_1_2"/>
        <xdr:cNvSpPr/>
      </xdr:nvSpPr>
      <xdr:spPr>
        <a:xfrm>
          <a:off x="7686802" y="4662170"/>
          <a:ext cx="190500" cy="190500"/>
        </a:xfrm>
        <a:prstGeom prst="rect">
          <a:avLst/>
        </a:prstGeom>
        <a:solidFill>
          <a:srgbClr val="8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280797</xdr:colOff>
      <xdr:row>24</xdr:row>
      <xdr:rowOff>95107</xdr:rowOff>
    </xdr:from>
    <xdr:ext cx="1260473" cy="180627"/>
    <xdr:sp macro="_xll.PtreeEvent_ObjectClick" textlink="">
      <xdr:nvSpPr>
        <xdr:cNvPr id="364" name="PTObj_DBranchName_1_2"/>
        <xdr:cNvSpPr txBox="1"/>
      </xdr:nvSpPr>
      <xdr:spPr>
        <a:xfrm>
          <a:off x="5471922" y="4667107"/>
          <a:ext cx="1260473"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New Membership Fee - $165</a:t>
          </a:r>
        </a:p>
      </xdr:txBody>
    </xdr:sp>
    <xdr:clientData/>
  </xdr:oneCellAnchor>
  <xdr:twoCellAnchor editAs="oneCell">
    <xdr:from>
      <xdr:col>7</xdr:col>
      <xdr:colOff>127</xdr:colOff>
      <xdr:row>46</xdr:row>
      <xdr:rowOff>90170</xdr:rowOff>
    </xdr:from>
    <xdr:to>
      <xdr:col>7</xdr:col>
      <xdr:colOff>190627</xdr:colOff>
      <xdr:row>47</xdr:row>
      <xdr:rowOff>90170</xdr:rowOff>
    </xdr:to>
    <xdr:sp macro="_xll.PtreeEvent_ObjectClick" textlink="">
      <xdr:nvSpPr>
        <xdr:cNvPr id="365" name="PTObj_DNode_1_12"/>
        <xdr:cNvSpPr/>
      </xdr:nvSpPr>
      <xdr:spPr>
        <a:xfrm>
          <a:off x="7686802" y="8853170"/>
          <a:ext cx="190500" cy="190500"/>
        </a:xfrm>
        <a:prstGeom prst="rect">
          <a:avLst/>
        </a:prstGeom>
        <a:solidFill>
          <a:srgbClr val="8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280797</xdr:colOff>
      <xdr:row>46</xdr:row>
      <xdr:rowOff>95107</xdr:rowOff>
    </xdr:from>
    <xdr:ext cx="1260473" cy="180627"/>
    <xdr:sp macro="_xll.PtreeEvent_ObjectClick" textlink="">
      <xdr:nvSpPr>
        <xdr:cNvPr id="368" name="PTObj_DBranchName_1_12"/>
        <xdr:cNvSpPr txBox="1"/>
      </xdr:nvSpPr>
      <xdr:spPr>
        <a:xfrm>
          <a:off x="5471922" y="8858107"/>
          <a:ext cx="1260473"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New Membership Fee - $235</a:t>
          </a:r>
        </a:p>
      </xdr:txBody>
    </xdr:sp>
    <xdr:clientData/>
  </xdr:oneCellAnchor>
  <xdr:twoCellAnchor editAs="oneCell">
    <xdr:from>
      <xdr:col>7</xdr:col>
      <xdr:colOff>127</xdr:colOff>
      <xdr:row>66</xdr:row>
      <xdr:rowOff>90170</xdr:rowOff>
    </xdr:from>
    <xdr:to>
      <xdr:col>7</xdr:col>
      <xdr:colOff>190627</xdr:colOff>
      <xdr:row>67</xdr:row>
      <xdr:rowOff>90170</xdr:rowOff>
    </xdr:to>
    <xdr:sp macro="_xll.PtreeEvent_ObjectClick" textlink="">
      <xdr:nvSpPr>
        <xdr:cNvPr id="369" name="PTObj_DNode_1_22"/>
        <xdr:cNvSpPr/>
      </xdr:nvSpPr>
      <xdr:spPr>
        <a:xfrm>
          <a:off x="7686802" y="12663170"/>
          <a:ext cx="190500" cy="190500"/>
        </a:xfrm>
        <a:prstGeom prst="rect">
          <a:avLst/>
        </a:prstGeom>
        <a:solidFill>
          <a:srgbClr val="8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6</xdr:col>
      <xdr:colOff>127</xdr:colOff>
      <xdr:row>38</xdr:row>
      <xdr:rowOff>90170</xdr:rowOff>
    </xdr:from>
    <xdr:to>
      <xdr:col>6</xdr:col>
      <xdr:colOff>190627</xdr:colOff>
      <xdr:row>39</xdr:row>
      <xdr:rowOff>90170</xdr:rowOff>
    </xdr:to>
    <xdr:sp macro="_xll.PtreeEvent_ObjectClick" textlink="">
      <xdr:nvSpPr>
        <xdr:cNvPr id="373" name="PTObj_DNode_1_1"/>
        <xdr:cNvSpPr/>
      </xdr:nvSpPr>
      <xdr:spPr>
        <a:xfrm>
          <a:off x="5191252" y="7329170"/>
          <a:ext cx="190500" cy="190500"/>
        </a:xfrm>
        <a:prstGeom prst="rect">
          <a:avLst/>
        </a:prstGeom>
        <a:solidFill>
          <a:srgbClr val="008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5</xdr:col>
      <xdr:colOff>215900</xdr:colOff>
      <xdr:row>38</xdr:row>
      <xdr:rowOff>95107</xdr:rowOff>
    </xdr:from>
    <xdr:ext cx="578043" cy="180627"/>
    <xdr:sp macro="_xll.PtreeEvent_ObjectClick" textlink="">
      <xdr:nvSpPr>
        <xdr:cNvPr id="375" name="PTObj_DBranchName_1_1"/>
        <xdr:cNvSpPr txBox="1"/>
      </xdr:nvSpPr>
      <xdr:spPr>
        <a:xfrm>
          <a:off x="4121150" y="7334107"/>
          <a:ext cx="578043"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Firm Value 1</a:t>
          </a:r>
        </a:p>
      </xdr:txBody>
    </xdr:sp>
    <xdr:clientData/>
  </xdr:oneCellAnchor>
  <xdr:oneCellAnchor>
    <xdr:from>
      <xdr:col>6</xdr:col>
      <xdr:colOff>280797</xdr:colOff>
      <xdr:row>66</xdr:row>
      <xdr:rowOff>95107</xdr:rowOff>
    </xdr:from>
    <xdr:ext cx="1497975" cy="180627"/>
    <xdr:sp macro="_xll.PtreeEvent_ObjectClick" textlink="">
      <xdr:nvSpPr>
        <xdr:cNvPr id="378" name="PTObj_DBranchName_1_22"/>
        <xdr:cNvSpPr txBox="1"/>
      </xdr:nvSpPr>
      <xdr:spPr>
        <a:xfrm>
          <a:off x="5471922" y="12668107"/>
          <a:ext cx="14979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Change, Membership Fee - $95</a:t>
          </a:r>
        </a:p>
      </xdr:txBody>
    </xdr:sp>
    <xdr:clientData/>
  </xdr:oneCellAnchor>
  <xdr:oneCellAnchor>
    <xdr:from>
      <xdr:col>7</xdr:col>
      <xdr:colOff>280797</xdr:colOff>
      <xdr:row>76</xdr:row>
      <xdr:rowOff>95106</xdr:rowOff>
    </xdr:from>
    <xdr:ext cx="604075" cy="180627"/>
    <xdr:sp macro="_xll.PtreeEvent_ObjectClick" textlink="">
      <xdr:nvSpPr>
        <xdr:cNvPr id="381" name="PTObj_DBranchName_1_26"/>
        <xdr:cNvSpPr txBox="1"/>
      </xdr:nvSpPr>
      <xdr:spPr>
        <a:xfrm>
          <a:off x="7967472" y="14573106"/>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7</xdr:col>
      <xdr:colOff>242697</xdr:colOff>
      <xdr:row>22</xdr:row>
      <xdr:rowOff>185420</xdr:rowOff>
    </xdr:from>
    <xdr:to>
      <xdr:col>8</xdr:col>
      <xdr:colOff>127</xdr:colOff>
      <xdr:row>22</xdr:row>
      <xdr:rowOff>185420</xdr:rowOff>
    </xdr:to>
    <xdr:cxnSp macro="_xll.PtreeEvent_ObjectClick">
      <xdr:nvCxnSpPr>
        <xdr:cNvPr id="12" name="PTObj_DBranchHLine_2_6"/>
        <xdr:cNvCxnSpPr/>
      </xdr:nvCxnSpPr>
      <xdr:spPr>
        <a:xfrm>
          <a:off x="7929372" y="4376420"/>
          <a:ext cx="2100580"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18</xdr:row>
      <xdr:rowOff>180340</xdr:rowOff>
    </xdr:from>
    <xdr:to>
      <xdr:col>7</xdr:col>
      <xdr:colOff>242697</xdr:colOff>
      <xdr:row>22</xdr:row>
      <xdr:rowOff>185420</xdr:rowOff>
    </xdr:to>
    <xdr:cxnSp macro="_xll.PtreeEvent_ObjectClick">
      <xdr:nvCxnSpPr>
        <xdr:cNvPr id="11" name="PTObj_DBranchDLine_2_6"/>
        <xdr:cNvCxnSpPr/>
      </xdr:nvCxnSpPr>
      <xdr:spPr>
        <a:xfrm>
          <a:off x="7776972" y="3609340"/>
          <a:ext cx="152400" cy="76708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242697</xdr:colOff>
      <xdr:row>18</xdr:row>
      <xdr:rowOff>185420</xdr:rowOff>
    </xdr:from>
    <xdr:to>
      <xdr:col>7</xdr:col>
      <xdr:colOff>127</xdr:colOff>
      <xdr:row>18</xdr:row>
      <xdr:rowOff>185420</xdr:rowOff>
    </xdr:to>
    <xdr:cxnSp macro="_xll.PtreeEvent_ObjectClick">
      <xdr:nvCxnSpPr>
        <xdr:cNvPr id="7" name="PTObj_DBranchHLine_2_2"/>
        <xdr:cNvCxnSpPr/>
      </xdr:nvCxnSpPr>
      <xdr:spPr>
        <a:xfrm>
          <a:off x="5433822" y="3614420"/>
          <a:ext cx="2252980"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90297</xdr:colOff>
      <xdr:row>18</xdr:row>
      <xdr:rowOff>185420</xdr:rowOff>
    </xdr:from>
    <xdr:to>
      <xdr:col>6</xdr:col>
      <xdr:colOff>242697</xdr:colOff>
      <xdr:row>32</xdr:row>
      <xdr:rowOff>180340</xdr:rowOff>
    </xdr:to>
    <xdr:cxnSp macro="_xll.PtreeEvent_ObjectClick">
      <xdr:nvCxnSpPr>
        <xdr:cNvPr id="5" name="PTObj_DBranchDLine_2_2"/>
        <xdr:cNvCxnSpPr/>
      </xdr:nvCxnSpPr>
      <xdr:spPr>
        <a:xfrm flipV="1">
          <a:off x="5281422" y="3614420"/>
          <a:ext cx="152400" cy="266192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242697</xdr:colOff>
      <xdr:row>34</xdr:row>
      <xdr:rowOff>185420</xdr:rowOff>
    </xdr:from>
    <xdr:to>
      <xdr:col>7</xdr:col>
      <xdr:colOff>127</xdr:colOff>
      <xdr:row>34</xdr:row>
      <xdr:rowOff>185420</xdr:rowOff>
    </xdr:to>
    <xdr:cxnSp macro="_xll.PtreeEvent_ObjectClick">
      <xdr:nvCxnSpPr>
        <xdr:cNvPr id="3" name="PTObj_DBranchHLine_2_22"/>
        <xdr:cNvCxnSpPr/>
      </xdr:nvCxnSpPr>
      <xdr:spPr>
        <a:xfrm>
          <a:off x="5433822" y="6662420"/>
          <a:ext cx="22529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90297</xdr:colOff>
      <xdr:row>32</xdr:row>
      <xdr:rowOff>180340</xdr:rowOff>
    </xdr:from>
    <xdr:to>
      <xdr:col>6</xdr:col>
      <xdr:colOff>242697</xdr:colOff>
      <xdr:row>34</xdr:row>
      <xdr:rowOff>185420</xdr:rowOff>
    </xdr:to>
    <xdr:cxnSp macro="_xll.PtreeEvent_ObjectClick">
      <xdr:nvCxnSpPr>
        <xdr:cNvPr id="2" name="PTObj_DBranchDLine_2_22"/>
        <xdr:cNvCxnSpPr/>
      </xdr:nvCxnSpPr>
      <xdr:spPr>
        <a:xfrm>
          <a:off x="5281422" y="6276340"/>
          <a:ext cx="152400" cy="386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44</xdr:row>
      <xdr:rowOff>185420</xdr:rowOff>
    </xdr:from>
    <xdr:to>
      <xdr:col>8</xdr:col>
      <xdr:colOff>127</xdr:colOff>
      <xdr:row>44</xdr:row>
      <xdr:rowOff>185420</xdr:rowOff>
    </xdr:to>
    <xdr:cxnSp macro="_xll.PtreeEvent_ObjectClick">
      <xdr:nvCxnSpPr>
        <xdr:cNvPr id="131" name="PTObj_DBranchHLine_2_29"/>
        <xdr:cNvCxnSpPr/>
      </xdr:nvCxnSpPr>
      <xdr:spPr>
        <a:xfrm>
          <a:off x="7929372" y="8567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34</xdr:row>
      <xdr:rowOff>180339</xdr:rowOff>
    </xdr:from>
    <xdr:to>
      <xdr:col>7</xdr:col>
      <xdr:colOff>242697</xdr:colOff>
      <xdr:row>44</xdr:row>
      <xdr:rowOff>185420</xdr:rowOff>
    </xdr:to>
    <xdr:cxnSp macro="_xll.PtreeEvent_ObjectClick">
      <xdr:nvCxnSpPr>
        <xdr:cNvPr id="130" name="PTObj_DBranchDLine_2_29"/>
        <xdr:cNvCxnSpPr/>
      </xdr:nvCxnSpPr>
      <xdr:spPr>
        <a:xfrm>
          <a:off x="7776972" y="6657339"/>
          <a:ext cx="152400" cy="1910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38</xdr:row>
      <xdr:rowOff>185420</xdr:rowOff>
    </xdr:from>
    <xdr:to>
      <xdr:col>8</xdr:col>
      <xdr:colOff>127</xdr:colOff>
      <xdr:row>38</xdr:row>
      <xdr:rowOff>185420</xdr:rowOff>
    </xdr:to>
    <xdr:cxnSp macro="_xll.PtreeEvent_ObjectClick">
      <xdr:nvCxnSpPr>
        <xdr:cNvPr id="127" name="PTObj_DBranchHLine_2_26"/>
        <xdr:cNvCxnSpPr/>
      </xdr:nvCxnSpPr>
      <xdr:spPr>
        <a:xfrm>
          <a:off x="7929372" y="7424420"/>
          <a:ext cx="2100580"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34</xdr:row>
      <xdr:rowOff>180339</xdr:rowOff>
    </xdr:from>
    <xdr:to>
      <xdr:col>7</xdr:col>
      <xdr:colOff>242697</xdr:colOff>
      <xdr:row>38</xdr:row>
      <xdr:rowOff>185420</xdr:rowOff>
    </xdr:to>
    <xdr:cxnSp macro="_xll.PtreeEvent_ObjectClick">
      <xdr:nvCxnSpPr>
        <xdr:cNvPr id="126" name="PTObj_DBranchDLine_2_26"/>
        <xdr:cNvCxnSpPr/>
      </xdr:nvCxnSpPr>
      <xdr:spPr>
        <a:xfrm>
          <a:off x="7776972" y="6657339"/>
          <a:ext cx="152400" cy="767081"/>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177800</xdr:colOff>
      <xdr:row>32</xdr:row>
      <xdr:rowOff>185420</xdr:rowOff>
    </xdr:from>
    <xdr:to>
      <xdr:col>6</xdr:col>
      <xdr:colOff>127</xdr:colOff>
      <xdr:row>32</xdr:row>
      <xdr:rowOff>185420</xdr:rowOff>
    </xdr:to>
    <xdr:cxnSp macro="_xll.PtreeEvent_ObjectClick">
      <xdr:nvCxnSpPr>
        <xdr:cNvPr id="6" name="PTObj_DBranchHLine_2_1"/>
        <xdr:cNvCxnSpPr/>
      </xdr:nvCxnSpPr>
      <xdr:spPr>
        <a:xfrm>
          <a:off x="4083050" y="7424420"/>
          <a:ext cx="1108202"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46</xdr:row>
      <xdr:rowOff>185420</xdr:rowOff>
    </xdr:from>
    <xdr:to>
      <xdr:col>9</xdr:col>
      <xdr:colOff>127</xdr:colOff>
      <xdr:row>46</xdr:row>
      <xdr:rowOff>185420</xdr:rowOff>
    </xdr:to>
    <xdr:cxnSp macro="_xll.PtreeEvent_ObjectClick">
      <xdr:nvCxnSpPr>
        <xdr:cNvPr id="21" name="PTObj_DBranchHLine_2_31"/>
        <xdr:cNvCxnSpPr/>
      </xdr:nvCxnSpPr>
      <xdr:spPr>
        <a:xfrm>
          <a:off x="10272522" y="13901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44</xdr:row>
      <xdr:rowOff>180339</xdr:rowOff>
    </xdr:from>
    <xdr:to>
      <xdr:col>8</xdr:col>
      <xdr:colOff>242697</xdr:colOff>
      <xdr:row>46</xdr:row>
      <xdr:rowOff>185420</xdr:rowOff>
    </xdr:to>
    <xdr:cxnSp macro="_xll.PtreeEvent_ObjectClick">
      <xdr:nvCxnSpPr>
        <xdr:cNvPr id="22" name="PTObj_DBranchDLine_2_31"/>
        <xdr:cNvCxnSpPr/>
      </xdr:nvCxnSpPr>
      <xdr:spPr>
        <a:xfrm>
          <a:off x="10120122" y="13515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42</xdr:row>
      <xdr:rowOff>185420</xdr:rowOff>
    </xdr:from>
    <xdr:to>
      <xdr:col>9</xdr:col>
      <xdr:colOff>127</xdr:colOff>
      <xdr:row>42</xdr:row>
      <xdr:rowOff>185420</xdr:rowOff>
    </xdr:to>
    <xdr:cxnSp macro="_xll.PtreeEvent_ObjectClick">
      <xdr:nvCxnSpPr>
        <xdr:cNvPr id="23" name="PTObj_DBranchHLine_2_30"/>
        <xdr:cNvCxnSpPr/>
      </xdr:nvCxnSpPr>
      <xdr:spPr>
        <a:xfrm>
          <a:off x="10272522" y="13139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42</xdr:row>
      <xdr:rowOff>185420</xdr:rowOff>
    </xdr:from>
    <xdr:to>
      <xdr:col>8</xdr:col>
      <xdr:colOff>242697</xdr:colOff>
      <xdr:row>44</xdr:row>
      <xdr:rowOff>180339</xdr:rowOff>
    </xdr:to>
    <xdr:cxnSp macro="_xll.PtreeEvent_ObjectClick">
      <xdr:nvCxnSpPr>
        <xdr:cNvPr id="24" name="PTObj_DBranchDLine_2_30"/>
        <xdr:cNvCxnSpPr/>
      </xdr:nvCxnSpPr>
      <xdr:spPr>
        <a:xfrm flipV="1">
          <a:off x="10120122" y="13139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40</xdr:row>
      <xdr:rowOff>185420</xdr:rowOff>
    </xdr:from>
    <xdr:to>
      <xdr:col>9</xdr:col>
      <xdr:colOff>127</xdr:colOff>
      <xdr:row>40</xdr:row>
      <xdr:rowOff>185420</xdr:rowOff>
    </xdr:to>
    <xdr:cxnSp macro="_xll.PtreeEvent_ObjectClick">
      <xdr:nvCxnSpPr>
        <xdr:cNvPr id="25" name="PTObj_DBranchHLine_2_28"/>
        <xdr:cNvCxnSpPr/>
      </xdr:nvCxnSpPr>
      <xdr:spPr>
        <a:xfrm>
          <a:off x="10272522" y="15044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38</xdr:row>
      <xdr:rowOff>180339</xdr:rowOff>
    </xdr:from>
    <xdr:to>
      <xdr:col>8</xdr:col>
      <xdr:colOff>242697</xdr:colOff>
      <xdr:row>40</xdr:row>
      <xdr:rowOff>185420</xdr:rowOff>
    </xdr:to>
    <xdr:cxnSp macro="_xll.PtreeEvent_ObjectClick">
      <xdr:nvCxnSpPr>
        <xdr:cNvPr id="26" name="PTObj_DBranchDLine_2_28"/>
        <xdr:cNvCxnSpPr/>
      </xdr:nvCxnSpPr>
      <xdr:spPr>
        <a:xfrm>
          <a:off x="10120122" y="14658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36</xdr:row>
      <xdr:rowOff>185420</xdr:rowOff>
    </xdr:from>
    <xdr:to>
      <xdr:col>9</xdr:col>
      <xdr:colOff>127</xdr:colOff>
      <xdr:row>36</xdr:row>
      <xdr:rowOff>185420</xdr:rowOff>
    </xdr:to>
    <xdr:cxnSp macro="_xll.PtreeEvent_ObjectClick">
      <xdr:nvCxnSpPr>
        <xdr:cNvPr id="27" name="PTObj_DBranchHLine_2_27"/>
        <xdr:cNvCxnSpPr/>
      </xdr:nvCxnSpPr>
      <xdr:spPr>
        <a:xfrm>
          <a:off x="10272522" y="14282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36</xdr:row>
      <xdr:rowOff>185420</xdr:rowOff>
    </xdr:from>
    <xdr:to>
      <xdr:col>8</xdr:col>
      <xdr:colOff>242697</xdr:colOff>
      <xdr:row>38</xdr:row>
      <xdr:rowOff>180339</xdr:rowOff>
    </xdr:to>
    <xdr:cxnSp macro="_xll.PtreeEvent_ObjectClick">
      <xdr:nvCxnSpPr>
        <xdr:cNvPr id="28" name="PTObj_DBranchDLine_2_27"/>
        <xdr:cNvCxnSpPr/>
      </xdr:nvCxnSpPr>
      <xdr:spPr>
        <a:xfrm flipV="1">
          <a:off x="10120122" y="14282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30</xdr:row>
      <xdr:rowOff>185420</xdr:rowOff>
    </xdr:from>
    <xdr:to>
      <xdr:col>9</xdr:col>
      <xdr:colOff>127</xdr:colOff>
      <xdr:row>30</xdr:row>
      <xdr:rowOff>185420</xdr:rowOff>
    </xdr:to>
    <xdr:cxnSp macro="_xll.PtreeEvent_ObjectClick">
      <xdr:nvCxnSpPr>
        <xdr:cNvPr id="45" name="PTObj_DBranchHLine_2_11"/>
        <xdr:cNvCxnSpPr/>
      </xdr:nvCxnSpPr>
      <xdr:spPr>
        <a:xfrm>
          <a:off x="10272522" y="7043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28</xdr:row>
      <xdr:rowOff>180339</xdr:rowOff>
    </xdr:from>
    <xdr:to>
      <xdr:col>8</xdr:col>
      <xdr:colOff>242697</xdr:colOff>
      <xdr:row>30</xdr:row>
      <xdr:rowOff>185420</xdr:rowOff>
    </xdr:to>
    <xdr:cxnSp macro="_xll.PtreeEvent_ObjectClick">
      <xdr:nvCxnSpPr>
        <xdr:cNvPr id="46" name="PTObj_DBranchDLine_2_11"/>
        <xdr:cNvCxnSpPr/>
      </xdr:nvCxnSpPr>
      <xdr:spPr>
        <a:xfrm>
          <a:off x="10120122" y="6657339"/>
          <a:ext cx="152400" cy="3860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26</xdr:row>
      <xdr:rowOff>185420</xdr:rowOff>
    </xdr:from>
    <xdr:to>
      <xdr:col>9</xdr:col>
      <xdr:colOff>127</xdr:colOff>
      <xdr:row>26</xdr:row>
      <xdr:rowOff>185420</xdr:rowOff>
    </xdr:to>
    <xdr:cxnSp macro="_xll.PtreeEvent_ObjectClick">
      <xdr:nvCxnSpPr>
        <xdr:cNvPr id="47" name="PTObj_DBranchHLine_2_10"/>
        <xdr:cNvCxnSpPr/>
      </xdr:nvCxnSpPr>
      <xdr:spPr>
        <a:xfrm>
          <a:off x="10272522" y="6281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26</xdr:row>
      <xdr:rowOff>185420</xdr:rowOff>
    </xdr:from>
    <xdr:to>
      <xdr:col>8</xdr:col>
      <xdr:colOff>242697</xdr:colOff>
      <xdr:row>28</xdr:row>
      <xdr:rowOff>180339</xdr:rowOff>
    </xdr:to>
    <xdr:cxnSp macro="_xll.PtreeEvent_ObjectClick">
      <xdr:nvCxnSpPr>
        <xdr:cNvPr id="48" name="PTObj_DBranchDLine_2_10"/>
        <xdr:cNvCxnSpPr/>
      </xdr:nvCxnSpPr>
      <xdr:spPr>
        <a:xfrm flipV="1">
          <a:off x="10120122" y="6281420"/>
          <a:ext cx="152400" cy="375919"/>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242697</xdr:colOff>
      <xdr:row>28</xdr:row>
      <xdr:rowOff>185420</xdr:rowOff>
    </xdr:from>
    <xdr:to>
      <xdr:col>8</xdr:col>
      <xdr:colOff>127</xdr:colOff>
      <xdr:row>28</xdr:row>
      <xdr:rowOff>185420</xdr:rowOff>
    </xdr:to>
    <xdr:cxnSp macro="_xll.PtreeEvent_ObjectClick">
      <xdr:nvCxnSpPr>
        <xdr:cNvPr id="49" name="PTObj_DBranchHLine_2_9"/>
        <xdr:cNvCxnSpPr/>
      </xdr:nvCxnSpPr>
      <xdr:spPr>
        <a:xfrm>
          <a:off x="7929372" y="6662420"/>
          <a:ext cx="210058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90297</xdr:colOff>
      <xdr:row>18</xdr:row>
      <xdr:rowOff>180340</xdr:rowOff>
    </xdr:from>
    <xdr:to>
      <xdr:col>7</xdr:col>
      <xdr:colOff>242697</xdr:colOff>
      <xdr:row>28</xdr:row>
      <xdr:rowOff>185420</xdr:rowOff>
    </xdr:to>
    <xdr:cxnSp macro="_xll.PtreeEvent_ObjectClick">
      <xdr:nvCxnSpPr>
        <xdr:cNvPr id="50" name="PTObj_DBranchDLine_2_9"/>
        <xdr:cNvCxnSpPr/>
      </xdr:nvCxnSpPr>
      <xdr:spPr>
        <a:xfrm>
          <a:off x="7776972" y="4752340"/>
          <a:ext cx="152400" cy="1910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24</xdr:row>
      <xdr:rowOff>185420</xdr:rowOff>
    </xdr:from>
    <xdr:to>
      <xdr:col>9</xdr:col>
      <xdr:colOff>127</xdr:colOff>
      <xdr:row>24</xdr:row>
      <xdr:rowOff>185420</xdr:rowOff>
    </xdr:to>
    <xdr:cxnSp macro="_xll.PtreeEvent_ObjectClick">
      <xdr:nvCxnSpPr>
        <xdr:cNvPr id="51" name="PTObj_DBranchHLine_2_8"/>
        <xdr:cNvCxnSpPr/>
      </xdr:nvCxnSpPr>
      <xdr:spPr>
        <a:xfrm>
          <a:off x="10272522" y="5900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22</xdr:row>
      <xdr:rowOff>180340</xdr:rowOff>
    </xdr:from>
    <xdr:to>
      <xdr:col>8</xdr:col>
      <xdr:colOff>242697</xdr:colOff>
      <xdr:row>24</xdr:row>
      <xdr:rowOff>185420</xdr:rowOff>
    </xdr:to>
    <xdr:cxnSp macro="_xll.PtreeEvent_ObjectClick">
      <xdr:nvCxnSpPr>
        <xdr:cNvPr id="52" name="PTObj_DBranchDLine_2_8"/>
        <xdr:cNvCxnSpPr/>
      </xdr:nvCxnSpPr>
      <xdr:spPr>
        <a:xfrm>
          <a:off x="10120122" y="5514340"/>
          <a:ext cx="152400" cy="38608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242697</xdr:colOff>
      <xdr:row>20</xdr:row>
      <xdr:rowOff>185420</xdr:rowOff>
    </xdr:from>
    <xdr:to>
      <xdr:col>9</xdr:col>
      <xdr:colOff>127</xdr:colOff>
      <xdr:row>20</xdr:row>
      <xdr:rowOff>185420</xdr:rowOff>
    </xdr:to>
    <xdr:cxnSp macro="_xll.PtreeEvent_ObjectClick">
      <xdr:nvCxnSpPr>
        <xdr:cNvPr id="53" name="PTObj_DBranchHLine_2_7"/>
        <xdr:cNvCxnSpPr/>
      </xdr:nvCxnSpPr>
      <xdr:spPr>
        <a:xfrm>
          <a:off x="10272522" y="5138420"/>
          <a:ext cx="1862455"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90297</xdr:colOff>
      <xdr:row>20</xdr:row>
      <xdr:rowOff>185420</xdr:rowOff>
    </xdr:from>
    <xdr:to>
      <xdr:col>8</xdr:col>
      <xdr:colOff>242697</xdr:colOff>
      <xdr:row>22</xdr:row>
      <xdr:rowOff>180340</xdr:rowOff>
    </xdr:to>
    <xdr:cxnSp macro="_xll.PtreeEvent_ObjectClick">
      <xdr:nvCxnSpPr>
        <xdr:cNvPr id="54" name="PTObj_DBranchDLine_2_7"/>
        <xdr:cNvCxnSpPr/>
      </xdr:nvCxnSpPr>
      <xdr:spPr>
        <a:xfrm flipV="1">
          <a:off x="10120122" y="5138420"/>
          <a:ext cx="152400" cy="37592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127</xdr:colOff>
      <xdr:row>22</xdr:row>
      <xdr:rowOff>90170</xdr:rowOff>
    </xdr:from>
    <xdr:to>
      <xdr:col>8</xdr:col>
      <xdr:colOff>190627</xdr:colOff>
      <xdr:row>23</xdr:row>
      <xdr:rowOff>90170</xdr:rowOff>
    </xdr:to>
    <xdr:sp macro="_xll.PtreeEvent_ObjectClick" textlink="">
      <xdr:nvSpPr>
        <xdr:cNvPr id="69" name="PTObj_DNode_2_6"/>
        <xdr:cNvSpPr/>
      </xdr:nvSpPr>
      <xdr:spPr>
        <a:xfrm>
          <a:off x="10029952" y="5424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9</xdr:col>
      <xdr:colOff>127</xdr:colOff>
      <xdr:row>20</xdr:row>
      <xdr:rowOff>90170</xdr:rowOff>
    </xdr:from>
    <xdr:to>
      <xdr:col>9</xdr:col>
      <xdr:colOff>190627</xdr:colOff>
      <xdr:row>21</xdr:row>
      <xdr:rowOff>90170</xdr:rowOff>
    </xdr:to>
    <xdr:sp macro="_xll.PtreeEvent_ObjectClick" textlink="">
      <xdr:nvSpPr>
        <xdr:cNvPr id="71" name="PTObj_DNode_2_7"/>
        <xdr:cNvSpPr/>
      </xdr:nvSpPr>
      <xdr:spPr>
        <a:xfrm rot="-5400000">
          <a:off x="12134977" y="5043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20</xdr:row>
      <xdr:rowOff>95107</xdr:rowOff>
    </xdr:from>
    <xdr:ext cx="460511" cy="180627"/>
    <xdr:sp macro="_xll.PtreeEvent_ObjectClick" textlink="">
      <xdr:nvSpPr>
        <xdr:cNvPr id="72" name="PTObj_DBranchName_2_7"/>
        <xdr:cNvSpPr txBox="1"/>
      </xdr:nvSpPr>
      <xdr:spPr>
        <a:xfrm>
          <a:off x="10310622" y="5048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24</xdr:row>
      <xdr:rowOff>90170</xdr:rowOff>
    </xdr:from>
    <xdr:to>
      <xdr:col>9</xdr:col>
      <xdr:colOff>190627</xdr:colOff>
      <xdr:row>25</xdr:row>
      <xdr:rowOff>90170</xdr:rowOff>
    </xdr:to>
    <xdr:sp macro="_xll.PtreeEvent_ObjectClick" textlink="">
      <xdr:nvSpPr>
        <xdr:cNvPr id="73" name="PTObj_DNode_2_8"/>
        <xdr:cNvSpPr/>
      </xdr:nvSpPr>
      <xdr:spPr>
        <a:xfrm rot="-5400000">
          <a:off x="12134977" y="5805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24</xdr:row>
      <xdr:rowOff>95107</xdr:rowOff>
    </xdr:from>
    <xdr:ext cx="604075" cy="180627"/>
    <xdr:sp macro="_xll.PtreeEvent_ObjectClick" textlink="">
      <xdr:nvSpPr>
        <xdr:cNvPr id="74" name="PTObj_DBranchName_2_8"/>
        <xdr:cNvSpPr txBox="1"/>
      </xdr:nvSpPr>
      <xdr:spPr>
        <a:xfrm>
          <a:off x="10310622" y="5810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8</xdr:col>
      <xdr:colOff>127</xdr:colOff>
      <xdr:row>28</xdr:row>
      <xdr:rowOff>90170</xdr:rowOff>
    </xdr:from>
    <xdr:to>
      <xdr:col>8</xdr:col>
      <xdr:colOff>190627</xdr:colOff>
      <xdr:row>29</xdr:row>
      <xdr:rowOff>90170</xdr:rowOff>
    </xdr:to>
    <xdr:sp macro="_xll.PtreeEvent_ObjectClick" textlink="">
      <xdr:nvSpPr>
        <xdr:cNvPr id="75" name="PTObj_DNode_2_9"/>
        <xdr:cNvSpPr/>
      </xdr:nvSpPr>
      <xdr:spPr>
        <a:xfrm>
          <a:off x="10029952" y="6567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28</xdr:row>
      <xdr:rowOff>95107</xdr:rowOff>
    </xdr:from>
    <xdr:ext cx="604075" cy="180627"/>
    <xdr:sp macro="_xll.PtreeEvent_ObjectClick" textlink="">
      <xdr:nvSpPr>
        <xdr:cNvPr id="76" name="PTObj_DBranchName_2_9"/>
        <xdr:cNvSpPr txBox="1"/>
      </xdr:nvSpPr>
      <xdr:spPr>
        <a:xfrm>
          <a:off x="7967472" y="6572107"/>
          <a:ext cx="604075"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26</xdr:row>
      <xdr:rowOff>90170</xdr:rowOff>
    </xdr:from>
    <xdr:to>
      <xdr:col>9</xdr:col>
      <xdr:colOff>190627</xdr:colOff>
      <xdr:row>27</xdr:row>
      <xdr:rowOff>90170</xdr:rowOff>
    </xdr:to>
    <xdr:sp macro="_xll.PtreeEvent_ObjectClick" textlink="">
      <xdr:nvSpPr>
        <xdr:cNvPr id="77" name="PTObj_DNode_2_10"/>
        <xdr:cNvSpPr/>
      </xdr:nvSpPr>
      <xdr:spPr>
        <a:xfrm rot="-5400000">
          <a:off x="12134977" y="6186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26</xdr:row>
      <xdr:rowOff>95107</xdr:rowOff>
    </xdr:from>
    <xdr:ext cx="460511" cy="180627"/>
    <xdr:sp macro="_xll.PtreeEvent_ObjectClick" textlink="">
      <xdr:nvSpPr>
        <xdr:cNvPr id="78" name="PTObj_DBranchName_2_10"/>
        <xdr:cNvSpPr txBox="1"/>
      </xdr:nvSpPr>
      <xdr:spPr>
        <a:xfrm>
          <a:off x="10310622" y="6191107"/>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30</xdr:row>
      <xdr:rowOff>90170</xdr:rowOff>
    </xdr:from>
    <xdr:to>
      <xdr:col>9</xdr:col>
      <xdr:colOff>190627</xdr:colOff>
      <xdr:row>31</xdr:row>
      <xdr:rowOff>90170</xdr:rowOff>
    </xdr:to>
    <xdr:sp macro="_xll.PtreeEvent_ObjectClick" textlink="">
      <xdr:nvSpPr>
        <xdr:cNvPr id="79" name="PTObj_DNode_2_11"/>
        <xdr:cNvSpPr/>
      </xdr:nvSpPr>
      <xdr:spPr>
        <a:xfrm rot="-5400000">
          <a:off x="12134977" y="6948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30</xdr:row>
      <xdr:rowOff>95107</xdr:rowOff>
    </xdr:from>
    <xdr:ext cx="604075" cy="180627"/>
    <xdr:sp macro="_xll.PtreeEvent_ObjectClick" textlink="">
      <xdr:nvSpPr>
        <xdr:cNvPr id="80" name="PTObj_DBranchName_2_11"/>
        <xdr:cNvSpPr txBox="1"/>
      </xdr:nvSpPr>
      <xdr:spPr>
        <a:xfrm>
          <a:off x="10310622" y="6953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36</xdr:row>
      <xdr:rowOff>90170</xdr:rowOff>
    </xdr:from>
    <xdr:to>
      <xdr:col>9</xdr:col>
      <xdr:colOff>190627</xdr:colOff>
      <xdr:row>37</xdr:row>
      <xdr:rowOff>90170</xdr:rowOff>
    </xdr:to>
    <xdr:sp macro="_xll.PtreeEvent_ObjectClick" textlink="">
      <xdr:nvSpPr>
        <xdr:cNvPr id="97" name="PTObj_DNode_2_27"/>
        <xdr:cNvSpPr/>
      </xdr:nvSpPr>
      <xdr:spPr>
        <a:xfrm rot="-5400000">
          <a:off x="12134977" y="14187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36</xdr:row>
      <xdr:rowOff>95106</xdr:rowOff>
    </xdr:from>
    <xdr:ext cx="460511" cy="180627"/>
    <xdr:sp macro="_xll.PtreeEvent_ObjectClick" textlink="">
      <xdr:nvSpPr>
        <xdr:cNvPr id="98" name="PTObj_DBranchName_2_27"/>
        <xdr:cNvSpPr txBox="1"/>
      </xdr:nvSpPr>
      <xdr:spPr>
        <a:xfrm>
          <a:off x="10310622" y="14192106"/>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40</xdr:row>
      <xdr:rowOff>90170</xdr:rowOff>
    </xdr:from>
    <xdr:to>
      <xdr:col>9</xdr:col>
      <xdr:colOff>190627</xdr:colOff>
      <xdr:row>41</xdr:row>
      <xdr:rowOff>90170</xdr:rowOff>
    </xdr:to>
    <xdr:sp macro="_xll.PtreeEvent_ObjectClick" textlink="">
      <xdr:nvSpPr>
        <xdr:cNvPr id="99" name="PTObj_DNode_2_28"/>
        <xdr:cNvSpPr/>
      </xdr:nvSpPr>
      <xdr:spPr>
        <a:xfrm rot="-5400000">
          <a:off x="12134977" y="14949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40</xdr:row>
      <xdr:rowOff>95106</xdr:rowOff>
    </xdr:from>
    <xdr:ext cx="604075" cy="180627"/>
    <xdr:sp macro="_xll.PtreeEvent_ObjectClick" textlink="">
      <xdr:nvSpPr>
        <xdr:cNvPr id="100" name="PTObj_DBranchName_2_28"/>
        <xdr:cNvSpPr txBox="1"/>
      </xdr:nvSpPr>
      <xdr:spPr>
        <a:xfrm>
          <a:off x="10310622" y="14954106"/>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9</xdr:col>
      <xdr:colOff>127</xdr:colOff>
      <xdr:row>42</xdr:row>
      <xdr:rowOff>90170</xdr:rowOff>
    </xdr:from>
    <xdr:to>
      <xdr:col>9</xdr:col>
      <xdr:colOff>190627</xdr:colOff>
      <xdr:row>43</xdr:row>
      <xdr:rowOff>90170</xdr:rowOff>
    </xdr:to>
    <xdr:sp macro="_xll.PtreeEvent_ObjectClick" textlink="">
      <xdr:nvSpPr>
        <xdr:cNvPr id="101" name="PTObj_DNode_2_30"/>
        <xdr:cNvSpPr/>
      </xdr:nvSpPr>
      <xdr:spPr>
        <a:xfrm rot="-5400000">
          <a:off x="12134977" y="13044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42</xdr:row>
      <xdr:rowOff>95106</xdr:rowOff>
    </xdr:from>
    <xdr:ext cx="460511" cy="180627"/>
    <xdr:sp macro="_xll.PtreeEvent_ObjectClick" textlink="">
      <xdr:nvSpPr>
        <xdr:cNvPr id="102" name="PTObj_DBranchName_2_30"/>
        <xdr:cNvSpPr txBox="1"/>
      </xdr:nvSpPr>
      <xdr:spPr>
        <a:xfrm>
          <a:off x="10310622" y="13049106"/>
          <a:ext cx="460511"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a:t>
          </a:r>
        </a:p>
      </xdr:txBody>
    </xdr:sp>
    <xdr:clientData/>
  </xdr:oneCellAnchor>
  <xdr:twoCellAnchor editAs="oneCell">
    <xdr:from>
      <xdr:col>9</xdr:col>
      <xdr:colOff>127</xdr:colOff>
      <xdr:row>46</xdr:row>
      <xdr:rowOff>90170</xdr:rowOff>
    </xdr:from>
    <xdr:to>
      <xdr:col>9</xdr:col>
      <xdr:colOff>190627</xdr:colOff>
      <xdr:row>47</xdr:row>
      <xdr:rowOff>90170</xdr:rowOff>
    </xdr:to>
    <xdr:sp macro="_xll.PtreeEvent_ObjectClick" textlink="">
      <xdr:nvSpPr>
        <xdr:cNvPr id="103" name="PTObj_DNode_2_31"/>
        <xdr:cNvSpPr/>
      </xdr:nvSpPr>
      <xdr:spPr>
        <a:xfrm rot="-5400000">
          <a:off x="12134977" y="13806170"/>
          <a:ext cx="190500" cy="190500"/>
        </a:xfrm>
        <a:prstGeom prst="triangle">
          <a:avLst/>
        </a:prstGeom>
        <a:solidFill>
          <a:srgbClr val="0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280797</xdr:colOff>
      <xdr:row>46</xdr:row>
      <xdr:rowOff>95106</xdr:rowOff>
    </xdr:from>
    <xdr:ext cx="604075" cy="180627"/>
    <xdr:sp macro="_xll.PtreeEvent_ObjectClick" textlink="">
      <xdr:nvSpPr>
        <xdr:cNvPr id="104" name="PTObj_DBranchName_2_31"/>
        <xdr:cNvSpPr txBox="1"/>
      </xdr:nvSpPr>
      <xdr:spPr>
        <a:xfrm>
          <a:off x="10310622" y="13811106"/>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7</xdr:col>
      <xdr:colOff>127</xdr:colOff>
      <xdr:row>18</xdr:row>
      <xdr:rowOff>90170</xdr:rowOff>
    </xdr:from>
    <xdr:to>
      <xdr:col>7</xdr:col>
      <xdr:colOff>190627</xdr:colOff>
      <xdr:row>19</xdr:row>
      <xdr:rowOff>90170</xdr:rowOff>
    </xdr:to>
    <xdr:sp macro="_xll.PtreeEvent_ObjectClick" textlink="">
      <xdr:nvSpPr>
        <xdr:cNvPr id="116" name="PTObj_DNode_2_2"/>
        <xdr:cNvSpPr/>
      </xdr:nvSpPr>
      <xdr:spPr>
        <a:xfrm>
          <a:off x="7686802" y="4662170"/>
          <a:ext cx="190500" cy="190500"/>
        </a:xfrm>
        <a:prstGeom prst="rect">
          <a:avLst/>
        </a:prstGeom>
        <a:solidFill>
          <a:srgbClr val="8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6</xdr:col>
      <xdr:colOff>127</xdr:colOff>
      <xdr:row>32</xdr:row>
      <xdr:rowOff>90170</xdr:rowOff>
    </xdr:from>
    <xdr:to>
      <xdr:col>6</xdr:col>
      <xdr:colOff>190627</xdr:colOff>
      <xdr:row>33</xdr:row>
      <xdr:rowOff>90170</xdr:rowOff>
    </xdr:to>
    <xdr:sp macro="_xll.PtreeEvent_ObjectClick" textlink="">
      <xdr:nvSpPr>
        <xdr:cNvPr id="121" name="PTObj_DNode_2_1"/>
        <xdr:cNvSpPr/>
      </xdr:nvSpPr>
      <xdr:spPr>
        <a:xfrm>
          <a:off x="5191252" y="7329170"/>
          <a:ext cx="190500" cy="190500"/>
        </a:xfrm>
        <a:prstGeom prst="rect">
          <a:avLst/>
        </a:prstGeom>
        <a:solidFill>
          <a:srgbClr val="008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5</xdr:col>
      <xdr:colOff>215900</xdr:colOff>
      <xdr:row>32</xdr:row>
      <xdr:rowOff>95107</xdr:rowOff>
    </xdr:from>
    <xdr:ext cx="502830" cy="180627"/>
    <xdr:sp macro="_xll.PtreeEvent_ObjectClick" textlink="">
      <xdr:nvSpPr>
        <xdr:cNvPr id="122" name="PTObj_DBranchName_2_1"/>
        <xdr:cNvSpPr txBox="1"/>
      </xdr:nvSpPr>
      <xdr:spPr>
        <a:xfrm>
          <a:off x="4121150" y="6191107"/>
          <a:ext cx="502830" cy="180627"/>
        </a:xfrm>
        <a:prstGeom prst="rect">
          <a:avLst/>
        </a:prstGeom>
        <a:solidFill>
          <a:srgbClr val="FFFFFF"/>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Firm Value</a:t>
          </a:r>
        </a:p>
      </xdr:txBody>
    </xdr:sp>
    <xdr:clientData/>
  </xdr:oneCellAnchor>
  <xdr:twoCellAnchor editAs="oneCell">
    <xdr:from>
      <xdr:col>8</xdr:col>
      <xdr:colOff>127</xdr:colOff>
      <xdr:row>38</xdr:row>
      <xdr:rowOff>90170</xdr:rowOff>
    </xdr:from>
    <xdr:to>
      <xdr:col>8</xdr:col>
      <xdr:colOff>190627</xdr:colOff>
      <xdr:row>39</xdr:row>
      <xdr:rowOff>90170</xdr:rowOff>
    </xdr:to>
    <xdr:sp macro="_xll.PtreeEvent_ObjectClick" textlink="">
      <xdr:nvSpPr>
        <xdr:cNvPr id="125" name="PTObj_DNode_2_26"/>
        <xdr:cNvSpPr/>
      </xdr:nvSpPr>
      <xdr:spPr>
        <a:xfrm>
          <a:off x="10029952" y="7329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38</xdr:row>
      <xdr:rowOff>95107</xdr:rowOff>
    </xdr:from>
    <xdr:ext cx="604075" cy="180627"/>
    <xdr:sp macro="_xll.PtreeEvent_ObjectClick" textlink="">
      <xdr:nvSpPr>
        <xdr:cNvPr id="128" name="PTObj_DBranchName_2_26"/>
        <xdr:cNvSpPr txBox="1"/>
      </xdr:nvSpPr>
      <xdr:spPr>
        <a:xfrm>
          <a:off x="7967472" y="7334107"/>
          <a:ext cx="6040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Tax Break</a:t>
          </a:r>
        </a:p>
      </xdr:txBody>
    </xdr:sp>
    <xdr:clientData/>
  </xdr:oneCellAnchor>
  <xdr:twoCellAnchor editAs="oneCell">
    <xdr:from>
      <xdr:col>8</xdr:col>
      <xdr:colOff>127</xdr:colOff>
      <xdr:row>44</xdr:row>
      <xdr:rowOff>90170</xdr:rowOff>
    </xdr:from>
    <xdr:to>
      <xdr:col>8</xdr:col>
      <xdr:colOff>190627</xdr:colOff>
      <xdr:row>45</xdr:row>
      <xdr:rowOff>90170</xdr:rowOff>
    </xdr:to>
    <xdr:sp macro="_xll.PtreeEvent_ObjectClick" textlink="">
      <xdr:nvSpPr>
        <xdr:cNvPr id="129" name="PTObj_DNode_2_29"/>
        <xdr:cNvSpPr/>
      </xdr:nvSpPr>
      <xdr:spPr>
        <a:xfrm>
          <a:off x="10029952" y="8472170"/>
          <a:ext cx="190500" cy="190500"/>
        </a:xfrm>
        <a:prstGeom prst="ellipse">
          <a:avLst/>
        </a:prstGeom>
        <a:solidFill>
          <a:srgbClr val="80000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280797</xdr:colOff>
      <xdr:row>44</xdr:row>
      <xdr:rowOff>95107</xdr:rowOff>
    </xdr:from>
    <xdr:ext cx="935769" cy="180627"/>
    <xdr:sp macro="_xll.PtreeEvent_ObjectClick" textlink="">
      <xdr:nvSpPr>
        <xdr:cNvPr id="132" name="PTObj_DBranchName_2_29"/>
        <xdr:cNvSpPr txBox="1"/>
      </xdr:nvSpPr>
      <xdr:spPr>
        <a:xfrm>
          <a:off x="7967472" y="8477107"/>
          <a:ext cx="935769"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- 30% Prob</a:t>
          </a:r>
        </a:p>
      </xdr:txBody>
    </xdr:sp>
    <xdr:clientData/>
  </xdr:oneCellAnchor>
  <xdr:twoCellAnchor editAs="oneCell">
    <xdr:from>
      <xdr:col>7</xdr:col>
      <xdr:colOff>127</xdr:colOff>
      <xdr:row>34</xdr:row>
      <xdr:rowOff>90170</xdr:rowOff>
    </xdr:from>
    <xdr:to>
      <xdr:col>7</xdr:col>
      <xdr:colOff>190627</xdr:colOff>
      <xdr:row>35</xdr:row>
      <xdr:rowOff>90170</xdr:rowOff>
    </xdr:to>
    <xdr:sp macro="_xll.PtreeEvent_ObjectClick" textlink="">
      <xdr:nvSpPr>
        <xdr:cNvPr id="133" name="PTObj_DNode_2_22"/>
        <xdr:cNvSpPr/>
      </xdr:nvSpPr>
      <xdr:spPr>
        <a:xfrm>
          <a:off x="7686802" y="6567170"/>
          <a:ext cx="190500" cy="190500"/>
        </a:xfrm>
        <a:prstGeom prst="rect">
          <a:avLst/>
        </a:prstGeom>
        <a:solidFill>
          <a:srgbClr val="800080"/>
        </a:solidFill>
        <a:ln w="1270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280797</xdr:colOff>
      <xdr:row>34</xdr:row>
      <xdr:rowOff>95107</xdr:rowOff>
    </xdr:from>
    <xdr:ext cx="1497975" cy="180627"/>
    <xdr:sp macro="_xll.PtreeEvent_ObjectClick" textlink="">
      <xdr:nvSpPr>
        <xdr:cNvPr id="4" name="PTObj_DBranchName_2_22"/>
        <xdr:cNvSpPr txBox="1"/>
      </xdr:nvSpPr>
      <xdr:spPr>
        <a:xfrm>
          <a:off x="5471922" y="6572107"/>
          <a:ext cx="149797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No Change, Membership Fee - $95</a:t>
          </a:r>
        </a:p>
      </xdr:txBody>
    </xdr:sp>
    <xdr:clientData/>
  </xdr:oneCellAnchor>
  <xdr:oneCellAnchor>
    <xdr:from>
      <xdr:col>6</xdr:col>
      <xdr:colOff>280797</xdr:colOff>
      <xdr:row>18</xdr:row>
      <xdr:rowOff>95107</xdr:rowOff>
    </xdr:from>
    <xdr:ext cx="1260473" cy="180627"/>
    <xdr:sp macro="_xll.PtreeEvent_ObjectClick" textlink="">
      <xdr:nvSpPr>
        <xdr:cNvPr id="8" name="PTObj_DBranchName_2_2"/>
        <xdr:cNvSpPr txBox="1"/>
      </xdr:nvSpPr>
      <xdr:spPr>
        <a:xfrm>
          <a:off x="5471922" y="3524107"/>
          <a:ext cx="1260473"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New Membership Fee - $165</a:t>
          </a:r>
        </a:p>
      </xdr:txBody>
    </xdr:sp>
    <xdr:clientData/>
  </xdr:oneCellAnchor>
  <xdr:oneCellAnchor>
    <xdr:from>
      <xdr:col>7</xdr:col>
      <xdr:colOff>280797</xdr:colOff>
      <xdr:row>22</xdr:row>
      <xdr:rowOff>95107</xdr:rowOff>
    </xdr:from>
    <xdr:ext cx="715709" cy="180627"/>
    <xdr:sp macro="_xll.PtreeEvent_ObjectClick" textlink="">
      <xdr:nvSpPr>
        <xdr:cNvPr id="13" name="PTObj_DBranchName_2_6"/>
        <xdr:cNvSpPr txBox="1"/>
      </xdr:nvSpPr>
      <xdr:spPr>
        <a:xfrm>
          <a:off x="7967472" y="4286107"/>
          <a:ext cx="715709"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27432" tIns="27432" rIns="27432" bIns="27432" rtlCol="0" anchor="ctr">
          <a:spAutoFit/>
        </a:bodyPr>
        <a:lstStyle/>
        <a:p>
          <a:pPr algn="ctr"/>
          <a:r>
            <a:rPr lang="en-US" sz="800"/>
            <a:t>Tax Break - 30%</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G102"/>
  <sheetViews>
    <sheetView tabSelected="1" zoomScaleNormal="100" workbookViewId="0"/>
  </sheetViews>
  <sheetFormatPr defaultRowHeight="12.75" outlineLevelRow="1" x14ac:dyDescent="0.2"/>
  <cols>
    <col min="1" max="1" width="34.42578125" style="4" customWidth="1"/>
    <col min="2" max="6" width="15.42578125" style="4" customWidth="1"/>
    <col min="7" max="7" width="4.140625" style="4" customWidth="1"/>
    <col min="8" max="16384" width="9.140625" style="4"/>
  </cols>
  <sheetData>
    <row r="1" spans="1:6" x14ac:dyDescent="0.2">
      <c r="A1" s="4" t="s">
        <v>119</v>
      </c>
    </row>
    <row r="3" spans="1:6" x14ac:dyDescent="0.2">
      <c r="A3" s="4" t="s">
        <v>121</v>
      </c>
    </row>
    <row r="4" spans="1:6" x14ac:dyDescent="0.2">
      <c r="A4" s="4" t="s">
        <v>120</v>
      </c>
    </row>
    <row r="5" spans="1:6" x14ac:dyDescent="0.2">
      <c r="A5" s="4" t="s">
        <v>122</v>
      </c>
    </row>
    <row r="6" spans="1:6" x14ac:dyDescent="0.2">
      <c r="A6" s="4" t="s">
        <v>123</v>
      </c>
    </row>
    <row r="8" spans="1:6" outlineLevel="1" x14ac:dyDescent="0.2">
      <c r="A8" s="31" t="s">
        <v>0</v>
      </c>
      <c r="B8" s="32" t="s">
        <v>16</v>
      </c>
      <c r="C8" s="32" t="s">
        <v>17</v>
      </c>
      <c r="D8" s="32" t="s">
        <v>18</v>
      </c>
      <c r="E8" s="32" t="s">
        <v>19</v>
      </c>
      <c r="F8" s="32" t="s">
        <v>20</v>
      </c>
    </row>
    <row r="9" spans="1:6" outlineLevel="1" x14ac:dyDescent="0.2">
      <c r="A9" s="5"/>
      <c r="B9" s="6"/>
      <c r="C9" s="6"/>
      <c r="D9" s="6"/>
      <c r="E9" s="6"/>
      <c r="F9" s="6"/>
    </row>
    <row r="10" spans="1:6" outlineLevel="1" x14ac:dyDescent="0.2">
      <c r="A10" s="7" t="s">
        <v>55</v>
      </c>
      <c r="B10" s="8">
        <v>0.03</v>
      </c>
      <c r="C10" s="6"/>
      <c r="D10" s="6"/>
      <c r="E10" s="6"/>
      <c r="F10" s="6"/>
    </row>
    <row r="11" spans="1:6" outlineLevel="1" x14ac:dyDescent="0.2"/>
    <row r="12" spans="1:6" outlineLevel="1" x14ac:dyDescent="0.2">
      <c r="A12" s="7" t="s">
        <v>10</v>
      </c>
      <c r="B12" s="9"/>
      <c r="C12" s="9"/>
    </row>
    <row r="13" spans="1:6" outlineLevel="1" x14ac:dyDescent="0.2">
      <c r="A13" s="7" t="s">
        <v>11</v>
      </c>
      <c r="B13" s="10">
        <v>6000</v>
      </c>
      <c r="C13" s="10">
        <v>6000</v>
      </c>
      <c r="D13" s="10">
        <v>6000</v>
      </c>
      <c r="E13" s="10">
        <v>6000</v>
      </c>
      <c r="F13" s="10">
        <v>6000</v>
      </c>
    </row>
    <row r="14" spans="1:6" outlineLevel="1" x14ac:dyDescent="0.2">
      <c r="A14" s="7" t="s">
        <v>40</v>
      </c>
      <c r="B14" s="10">
        <v>800</v>
      </c>
      <c r="C14" s="11">
        <f>B14*(1+$B$10)</f>
        <v>824</v>
      </c>
      <c r="D14" s="11">
        <f t="shared" ref="D14:F14" si="0">C14*(1+$B$10)</f>
        <v>848.72</v>
      </c>
      <c r="E14" s="11">
        <f t="shared" si="0"/>
        <v>874.1816</v>
      </c>
      <c r="F14" s="11">
        <f t="shared" si="0"/>
        <v>900.40704800000003</v>
      </c>
    </row>
    <row r="15" spans="1:6" outlineLevel="1" x14ac:dyDescent="0.2">
      <c r="A15" s="7" t="s">
        <v>53</v>
      </c>
      <c r="B15" s="12">
        <v>0.2</v>
      </c>
      <c r="C15" s="12">
        <v>0.2</v>
      </c>
      <c r="D15" s="12">
        <v>0.2</v>
      </c>
      <c r="E15" s="12">
        <v>0.2</v>
      </c>
      <c r="F15" s="12">
        <v>0.2</v>
      </c>
    </row>
    <row r="16" spans="1:6" outlineLevel="1" x14ac:dyDescent="0.2">
      <c r="A16" s="7" t="s">
        <v>39</v>
      </c>
      <c r="B16" s="12">
        <v>0.4</v>
      </c>
      <c r="C16" s="12">
        <v>0.4</v>
      </c>
      <c r="D16" s="12">
        <v>0.4</v>
      </c>
      <c r="E16" s="12">
        <v>0.4</v>
      </c>
      <c r="F16" s="12">
        <v>0.4</v>
      </c>
    </row>
    <row r="17" spans="1:6" outlineLevel="1" x14ac:dyDescent="0.2">
      <c r="A17" s="7"/>
      <c r="B17" s="12"/>
      <c r="C17" s="7"/>
      <c r="D17" s="13"/>
      <c r="E17" s="13"/>
      <c r="F17" s="13"/>
    </row>
    <row r="18" spans="1:6" ht="13.5" outlineLevel="1" thickBot="1" x14ac:dyDescent="0.25">
      <c r="A18" s="7" t="s">
        <v>41</v>
      </c>
      <c r="B18" s="12"/>
      <c r="C18" s="7"/>
      <c r="D18" s="13"/>
      <c r="E18" s="13"/>
      <c r="F18" s="13"/>
    </row>
    <row r="19" spans="1:6" ht="14.25" outlineLevel="1" thickTop="1" thickBot="1" x14ac:dyDescent="0.25">
      <c r="A19" s="7" t="s">
        <v>1</v>
      </c>
      <c r="B19" s="14">
        <f>Demand!D7</f>
        <v>110000</v>
      </c>
      <c r="C19" s="11">
        <f>B19</f>
        <v>110000</v>
      </c>
      <c r="D19" s="11">
        <f t="shared" ref="D19:F19" si="1">C19</f>
        <v>110000</v>
      </c>
      <c r="E19" s="11">
        <f t="shared" si="1"/>
        <v>110000</v>
      </c>
      <c r="F19" s="11">
        <f t="shared" si="1"/>
        <v>110000</v>
      </c>
    </row>
    <row r="20" spans="1:6" ht="13.5" outlineLevel="1" thickTop="1" x14ac:dyDescent="0.2">
      <c r="A20" s="7" t="s">
        <v>2</v>
      </c>
      <c r="B20" s="10">
        <v>15000</v>
      </c>
      <c r="C20" s="10">
        <v>15000</v>
      </c>
      <c r="D20" s="10">
        <v>15000</v>
      </c>
      <c r="E20" s="10">
        <v>15000</v>
      </c>
      <c r="F20" s="10">
        <v>15000</v>
      </c>
    </row>
    <row r="21" spans="1:6" outlineLevel="1" x14ac:dyDescent="0.2">
      <c r="A21" s="7" t="s">
        <v>3</v>
      </c>
      <c r="B21" s="10">
        <v>325000</v>
      </c>
      <c r="C21" s="10">
        <v>325000</v>
      </c>
      <c r="D21" s="10">
        <v>325000</v>
      </c>
      <c r="E21" s="10">
        <v>325000</v>
      </c>
      <c r="F21" s="10">
        <v>325000</v>
      </c>
    </row>
    <row r="22" spans="1:6" outlineLevel="1" x14ac:dyDescent="0.2">
      <c r="A22" s="7"/>
      <c r="B22" s="7"/>
      <c r="C22" s="7"/>
      <c r="D22" s="13"/>
      <c r="E22" s="13"/>
      <c r="F22" s="13"/>
    </row>
    <row r="23" spans="1:6" ht="13.5" outlineLevel="1" thickBot="1" x14ac:dyDescent="0.25">
      <c r="A23" s="7" t="s">
        <v>42</v>
      </c>
      <c r="B23" s="7"/>
      <c r="C23" s="7"/>
      <c r="D23" s="13"/>
      <c r="E23" s="13"/>
      <c r="F23" s="13"/>
    </row>
    <row r="24" spans="1:6" ht="14.25" outlineLevel="1" thickTop="1" thickBot="1" x14ac:dyDescent="0.25">
      <c r="A24" s="7" t="s">
        <v>1</v>
      </c>
      <c r="B24" s="14">
        <v>95</v>
      </c>
      <c r="C24" s="11">
        <f>B24*(1+$B$10)</f>
        <v>97.850000000000009</v>
      </c>
      <c r="D24" s="11">
        <f t="shared" ref="D24:F24" si="2">C24*(1+$B$10)</f>
        <v>100.78550000000001</v>
      </c>
      <c r="E24" s="11">
        <f t="shared" si="2"/>
        <v>103.80906500000002</v>
      </c>
      <c r="F24" s="11">
        <f t="shared" si="2"/>
        <v>106.92333695000002</v>
      </c>
    </row>
    <row r="25" spans="1:6" ht="13.5" outlineLevel="1" thickTop="1" x14ac:dyDescent="0.2">
      <c r="A25" s="7" t="s">
        <v>2</v>
      </c>
      <c r="B25" s="10">
        <v>25</v>
      </c>
      <c r="C25" s="11">
        <f t="shared" ref="C25:F26" si="3">B25*(1+$B$10)</f>
        <v>25.75</v>
      </c>
      <c r="D25" s="11">
        <f t="shared" si="3"/>
        <v>26.522500000000001</v>
      </c>
      <c r="E25" s="11">
        <f t="shared" si="3"/>
        <v>27.318175</v>
      </c>
      <c r="F25" s="11">
        <f t="shared" si="3"/>
        <v>28.137720250000001</v>
      </c>
    </row>
    <row r="26" spans="1:6" outlineLevel="1" x14ac:dyDescent="0.2">
      <c r="A26" s="7" t="s">
        <v>3</v>
      </c>
      <c r="B26" s="10">
        <v>10</v>
      </c>
      <c r="C26" s="11">
        <f t="shared" si="3"/>
        <v>10.3</v>
      </c>
      <c r="D26" s="11">
        <f t="shared" si="3"/>
        <v>10.609000000000002</v>
      </c>
      <c r="E26" s="11">
        <f t="shared" si="3"/>
        <v>10.927270000000002</v>
      </c>
      <c r="F26" s="11">
        <f t="shared" si="3"/>
        <v>11.255088100000002</v>
      </c>
    </row>
    <row r="27" spans="1:6" outlineLevel="1" x14ac:dyDescent="0.2">
      <c r="A27" s="7"/>
      <c r="B27" s="10"/>
      <c r="C27" s="10"/>
      <c r="D27" s="15"/>
      <c r="E27" s="15"/>
      <c r="F27" s="15"/>
    </row>
    <row r="28" spans="1:6" outlineLevel="1" x14ac:dyDescent="0.2">
      <c r="A28" s="16" t="s">
        <v>54</v>
      </c>
      <c r="B28" s="11"/>
      <c r="C28" s="11"/>
      <c r="D28" s="11"/>
      <c r="E28" s="11"/>
      <c r="F28" s="11"/>
    </row>
    <row r="29" spans="1:6" outlineLevel="1" x14ac:dyDescent="0.2">
      <c r="A29" s="16" t="s">
        <v>1</v>
      </c>
      <c r="B29" s="17">
        <f>(B24*B19)/SUMPRODUCT(B$24:B$26,B$19:B$21)</f>
        <v>0.74245115452930732</v>
      </c>
      <c r="C29" s="17">
        <f t="shared" ref="C29:F29" si="4">(C24*C19)/SUMPRODUCT(C$24:C$26,C$19:C$21)</f>
        <v>0.74245115452930732</v>
      </c>
      <c r="D29" s="17">
        <f t="shared" si="4"/>
        <v>0.74245115452930732</v>
      </c>
      <c r="E29" s="17">
        <f t="shared" si="4"/>
        <v>0.74245115452930732</v>
      </c>
      <c r="F29" s="17">
        <f t="shared" si="4"/>
        <v>0.74245115452930721</v>
      </c>
    </row>
    <row r="30" spans="1:6" outlineLevel="1" x14ac:dyDescent="0.2">
      <c r="A30" s="16" t="s">
        <v>2</v>
      </c>
      <c r="B30" s="17">
        <f t="shared" ref="B30:F31" si="5">(B25*B20)/SUMPRODUCT(B$24:B$26,B$19:B$21)</f>
        <v>2.664298401420959E-2</v>
      </c>
      <c r="C30" s="17">
        <f t="shared" si="5"/>
        <v>2.6642984014209586E-2</v>
      </c>
      <c r="D30" s="17">
        <f t="shared" si="5"/>
        <v>2.664298401420959E-2</v>
      </c>
      <c r="E30" s="17">
        <f t="shared" si="5"/>
        <v>2.6642984014209586E-2</v>
      </c>
      <c r="F30" s="17">
        <f t="shared" si="5"/>
        <v>2.6642984014209586E-2</v>
      </c>
    </row>
    <row r="31" spans="1:6" outlineLevel="1" x14ac:dyDescent="0.2">
      <c r="A31" s="16" t="s">
        <v>3</v>
      </c>
      <c r="B31" s="17">
        <f t="shared" si="5"/>
        <v>0.23090586145648312</v>
      </c>
      <c r="C31" s="17">
        <f t="shared" si="5"/>
        <v>0.23090586145648309</v>
      </c>
      <c r="D31" s="17">
        <f t="shared" si="5"/>
        <v>0.23090586145648312</v>
      </c>
      <c r="E31" s="17">
        <f t="shared" si="5"/>
        <v>0.23090586145648312</v>
      </c>
      <c r="F31" s="17">
        <f t="shared" si="5"/>
        <v>0.23090586145648312</v>
      </c>
    </row>
    <row r="32" spans="1:6" outlineLevel="1" x14ac:dyDescent="0.2">
      <c r="A32" s="7"/>
      <c r="B32" s="10"/>
      <c r="C32" s="10"/>
      <c r="D32" s="15"/>
      <c r="E32" s="15"/>
      <c r="F32" s="15"/>
    </row>
    <row r="33" spans="1:7" outlineLevel="1" x14ac:dyDescent="0.2">
      <c r="A33" s="7" t="s">
        <v>62</v>
      </c>
      <c r="B33" s="8">
        <v>0.04</v>
      </c>
      <c r="C33" s="18">
        <f>B33</f>
        <v>0.04</v>
      </c>
      <c r="D33" s="18">
        <f t="shared" ref="D33:F33" si="6">C33</f>
        <v>0.04</v>
      </c>
      <c r="E33" s="18">
        <f t="shared" si="6"/>
        <v>0.04</v>
      </c>
      <c r="F33" s="18">
        <f t="shared" si="6"/>
        <v>0.04</v>
      </c>
      <c r="G33" s="10"/>
    </row>
    <row r="34" spans="1:7" outlineLevel="1" x14ac:dyDescent="0.2">
      <c r="A34" s="16" t="s">
        <v>66</v>
      </c>
      <c r="B34" s="19">
        <f>B33*B42*1000</f>
        <v>331000</v>
      </c>
      <c r="C34" s="19">
        <f>C33*C42*1000</f>
        <v>331000</v>
      </c>
      <c r="D34" s="19">
        <f>D33*D42*1000</f>
        <v>331000</v>
      </c>
      <c r="E34" s="19">
        <f>E33*E42*1000</f>
        <v>331000</v>
      </c>
      <c r="F34" s="19">
        <f>F33*F42*1000</f>
        <v>331000</v>
      </c>
    </row>
    <row r="35" spans="1:7" outlineLevel="1" x14ac:dyDescent="0.2">
      <c r="A35" s="7" t="s">
        <v>67</v>
      </c>
      <c r="B35" s="20">
        <v>10</v>
      </c>
      <c r="C35" s="21">
        <f t="shared" ref="C35:F35" si="7">B35*(1+$B$10)</f>
        <v>10.3</v>
      </c>
      <c r="D35" s="21">
        <f t="shared" si="7"/>
        <v>10.609000000000002</v>
      </c>
      <c r="E35" s="21">
        <f t="shared" si="7"/>
        <v>10.927270000000002</v>
      </c>
      <c r="F35" s="21">
        <f t="shared" si="7"/>
        <v>11.255088100000002</v>
      </c>
    </row>
    <row r="36" spans="1:7" outlineLevel="1" x14ac:dyDescent="0.2">
      <c r="A36" s="7"/>
      <c r="B36" s="10"/>
      <c r="C36" s="10"/>
      <c r="D36" s="15"/>
      <c r="E36" s="15"/>
      <c r="F36" s="15"/>
    </row>
    <row r="37" spans="1:7" outlineLevel="1" x14ac:dyDescent="0.2">
      <c r="A37" s="7" t="s">
        <v>63</v>
      </c>
      <c r="B37" s="10"/>
      <c r="C37" s="10"/>
      <c r="D37" s="15"/>
      <c r="E37" s="15"/>
      <c r="F37" s="15"/>
    </row>
    <row r="38" spans="1:7" outlineLevel="1" x14ac:dyDescent="0.2">
      <c r="A38" s="7" t="s">
        <v>1</v>
      </c>
      <c r="B38" s="10">
        <v>65</v>
      </c>
      <c r="C38" s="22">
        <f>B38</f>
        <v>65</v>
      </c>
      <c r="D38" s="22">
        <f t="shared" ref="D38:F38" si="8">C38</f>
        <v>65</v>
      </c>
      <c r="E38" s="22">
        <f t="shared" si="8"/>
        <v>65</v>
      </c>
      <c r="F38" s="22">
        <f t="shared" si="8"/>
        <v>65</v>
      </c>
    </row>
    <row r="39" spans="1:7" outlineLevel="1" x14ac:dyDescent="0.2">
      <c r="A39" s="7" t="s">
        <v>2</v>
      </c>
      <c r="B39" s="10">
        <v>10</v>
      </c>
      <c r="C39" s="22">
        <f t="shared" ref="C39:F40" si="9">B39</f>
        <v>10</v>
      </c>
      <c r="D39" s="22">
        <f t="shared" si="9"/>
        <v>10</v>
      </c>
      <c r="E39" s="22">
        <f t="shared" si="9"/>
        <v>10</v>
      </c>
      <c r="F39" s="22">
        <f t="shared" si="9"/>
        <v>10</v>
      </c>
    </row>
    <row r="40" spans="1:7" outlineLevel="1" x14ac:dyDescent="0.2">
      <c r="A40" s="7" t="s">
        <v>3</v>
      </c>
      <c r="B40" s="10">
        <v>3</v>
      </c>
      <c r="C40" s="22">
        <f t="shared" si="9"/>
        <v>3</v>
      </c>
      <c r="D40" s="22">
        <f t="shared" si="9"/>
        <v>3</v>
      </c>
      <c r="E40" s="22">
        <f t="shared" si="9"/>
        <v>3</v>
      </c>
      <c r="F40" s="22">
        <f t="shared" si="9"/>
        <v>3</v>
      </c>
    </row>
    <row r="41" spans="1:7" outlineLevel="1" x14ac:dyDescent="0.2">
      <c r="A41" s="7"/>
      <c r="B41" s="10"/>
      <c r="C41" s="10"/>
      <c r="D41" s="15"/>
      <c r="E41" s="15"/>
      <c r="F41" s="15"/>
    </row>
    <row r="42" spans="1:7" outlineLevel="1" x14ac:dyDescent="0.2">
      <c r="A42" s="16" t="s">
        <v>64</v>
      </c>
      <c r="B42" s="11">
        <f>SUM(B43:B45)</f>
        <v>8275</v>
      </c>
      <c r="C42" s="11">
        <f t="shared" ref="C42:F42" si="10">SUM(C43:C45)</f>
        <v>8275</v>
      </c>
      <c r="D42" s="11">
        <f t="shared" si="10"/>
        <v>8275</v>
      </c>
      <c r="E42" s="11">
        <f t="shared" si="10"/>
        <v>8275</v>
      </c>
      <c r="F42" s="11">
        <f t="shared" si="10"/>
        <v>8275</v>
      </c>
    </row>
    <row r="43" spans="1:7" outlineLevel="1" x14ac:dyDescent="0.2">
      <c r="A43" s="16" t="s">
        <v>1</v>
      </c>
      <c r="B43" s="11">
        <f t="shared" ref="B43:F45" si="11">(B38*B19)/1000</f>
        <v>7150</v>
      </c>
      <c r="C43" s="11">
        <f t="shared" si="11"/>
        <v>7150</v>
      </c>
      <c r="D43" s="11">
        <f t="shared" si="11"/>
        <v>7150</v>
      </c>
      <c r="E43" s="11">
        <f t="shared" si="11"/>
        <v>7150</v>
      </c>
      <c r="F43" s="11">
        <f t="shared" si="11"/>
        <v>7150</v>
      </c>
    </row>
    <row r="44" spans="1:7" outlineLevel="1" x14ac:dyDescent="0.2">
      <c r="A44" s="16" t="s">
        <v>2</v>
      </c>
      <c r="B44" s="11">
        <f t="shared" si="11"/>
        <v>150</v>
      </c>
      <c r="C44" s="11">
        <f t="shared" si="11"/>
        <v>150</v>
      </c>
      <c r="D44" s="11">
        <f t="shared" si="11"/>
        <v>150</v>
      </c>
      <c r="E44" s="11">
        <f t="shared" si="11"/>
        <v>150</v>
      </c>
      <c r="F44" s="11">
        <f t="shared" si="11"/>
        <v>150</v>
      </c>
    </row>
    <row r="45" spans="1:7" outlineLevel="1" x14ac:dyDescent="0.2">
      <c r="A45" s="16" t="s">
        <v>3</v>
      </c>
      <c r="B45" s="11">
        <f t="shared" si="11"/>
        <v>975</v>
      </c>
      <c r="C45" s="11">
        <f t="shared" si="11"/>
        <v>975</v>
      </c>
      <c r="D45" s="11">
        <f t="shared" si="11"/>
        <v>975</v>
      </c>
      <c r="E45" s="11">
        <f t="shared" si="11"/>
        <v>975</v>
      </c>
      <c r="F45" s="11">
        <f t="shared" si="11"/>
        <v>975</v>
      </c>
    </row>
    <row r="46" spans="1:7" outlineLevel="1" x14ac:dyDescent="0.2">
      <c r="A46" s="7"/>
      <c r="B46" s="10"/>
      <c r="C46" s="10"/>
      <c r="D46" s="15"/>
      <c r="E46" s="15"/>
      <c r="F46" s="15"/>
    </row>
    <row r="47" spans="1:7" outlineLevel="1" x14ac:dyDescent="0.2">
      <c r="A47" s="16" t="s">
        <v>65</v>
      </c>
    </row>
    <row r="48" spans="1:7" outlineLevel="1" x14ac:dyDescent="0.2">
      <c r="A48" s="7" t="s">
        <v>4</v>
      </c>
      <c r="B48" s="20">
        <v>1.75</v>
      </c>
      <c r="C48" s="20">
        <v>1.75</v>
      </c>
      <c r="D48" s="20">
        <v>1.75</v>
      </c>
      <c r="E48" s="20">
        <v>1.75</v>
      </c>
      <c r="F48" s="20">
        <v>1.75</v>
      </c>
      <c r="G48" s="9"/>
    </row>
    <row r="49" spans="1:6" outlineLevel="1" x14ac:dyDescent="0.2">
      <c r="A49" s="16" t="s">
        <v>21</v>
      </c>
      <c r="B49" s="11">
        <f>B48*B42</f>
        <v>14481.25</v>
      </c>
      <c r="C49" s="11">
        <f>C48*C42</f>
        <v>14481.25</v>
      </c>
      <c r="D49" s="11">
        <f>D48*D42</f>
        <v>14481.25</v>
      </c>
      <c r="E49" s="11">
        <f>E48*E42</f>
        <v>14481.25</v>
      </c>
      <c r="F49" s="11">
        <f>F48*F42</f>
        <v>14481.25</v>
      </c>
    </row>
    <row r="50" spans="1:6" outlineLevel="1" x14ac:dyDescent="0.2">
      <c r="A50" s="7"/>
      <c r="B50" s="7"/>
      <c r="C50" s="7"/>
      <c r="D50" s="13"/>
      <c r="E50" s="13"/>
      <c r="F50" s="13"/>
    </row>
    <row r="51" spans="1:6" outlineLevel="1" x14ac:dyDescent="0.2">
      <c r="A51" s="7" t="s">
        <v>5</v>
      </c>
      <c r="B51" s="7"/>
      <c r="C51" s="7"/>
      <c r="D51" s="13"/>
      <c r="E51" s="13"/>
      <c r="F51" s="13"/>
    </row>
    <row r="52" spans="1:6" outlineLevel="1" x14ac:dyDescent="0.2">
      <c r="A52" s="7" t="s">
        <v>6</v>
      </c>
      <c r="B52" s="23">
        <v>1.5E-3</v>
      </c>
      <c r="C52" s="23">
        <v>1.5E-3</v>
      </c>
      <c r="D52" s="23">
        <v>1.5E-3</v>
      </c>
      <c r="E52" s="23">
        <v>1.5E-3</v>
      </c>
      <c r="F52" s="23">
        <v>1.5E-3</v>
      </c>
    </row>
    <row r="53" spans="1:6" outlineLevel="1" x14ac:dyDescent="0.2">
      <c r="A53" s="7" t="s">
        <v>43</v>
      </c>
      <c r="B53" s="10">
        <v>150</v>
      </c>
      <c r="C53" s="11">
        <f t="shared" ref="C53:F55" si="12">B53*(1+$B$10)</f>
        <v>154.5</v>
      </c>
      <c r="D53" s="11">
        <f t="shared" si="12"/>
        <v>159.13499999999999</v>
      </c>
      <c r="E53" s="11">
        <f t="shared" si="12"/>
        <v>163.90905000000001</v>
      </c>
      <c r="F53" s="11">
        <f t="shared" si="12"/>
        <v>168.82632150000001</v>
      </c>
    </row>
    <row r="54" spans="1:6" outlineLevel="1" x14ac:dyDescent="0.2">
      <c r="A54" s="7" t="s">
        <v>7</v>
      </c>
      <c r="B54" s="10">
        <v>330</v>
      </c>
      <c r="C54" s="10">
        <v>330</v>
      </c>
      <c r="D54" s="10">
        <v>330</v>
      </c>
      <c r="E54" s="10">
        <v>330</v>
      </c>
      <c r="F54" s="10">
        <v>330</v>
      </c>
    </row>
    <row r="55" spans="1:6" outlineLevel="1" x14ac:dyDescent="0.2">
      <c r="A55" s="7" t="s">
        <v>44</v>
      </c>
      <c r="B55" s="10">
        <v>3500</v>
      </c>
      <c r="C55" s="11">
        <f t="shared" si="12"/>
        <v>3605</v>
      </c>
      <c r="D55" s="11">
        <f t="shared" si="12"/>
        <v>3713.15</v>
      </c>
      <c r="E55" s="11">
        <f t="shared" si="12"/>
        <v>3824.5445</v>
      </c>
      <c r="F55" s="11">
        <f t="shared" si="12"/>
        <v>3939.280835</v>
      </c>
    </row>
    <row r="56" spans="1:6" outlineLevel="1" x14ac:dyDescent="0.2">
      <c r="A56" s="7" t="s">
        <v>45</v>
      </c>
      <c r="B56" s="10">
        <v>5000</v>
      </c>
      <c r="C56" s="11">
        <f t="shared" ref="C56:F56" si="13">B56*(1+$B$10)</f>
        <v>5150</v>
      </c>
      <c r="D56" s="11">
        <f t="shared" si="13"/>
        <v>5304.5</v>
      </c>
      <c r="E56" s="11">
        <f t="shared" si="13"/>
        <v>5463.6350000000002</v>
      </c>
      <c r="F56" s="11">
        <f t="shared" si="13"/>
        <v>5627.5440500000004</v>
      </c>
    </row>
    <row r="57" spans="1:6" outlineLevel="1" x14ac:dyDescent="0.2">
      <c r="A57" s="7"/>
      <c r="B57" s="7"/>
      <c r="C57" s="7"/>
      <c r="D57" s="13"/>
      <c r="E57" s="13"/>
      <c r="F57" s="13"/>
    </row>
    <row r="58" spans="1:6" outlineLevel="1" x14ac:dyDescent="0.2">
      <c r="A58" s="7" t="s">
        <v>8</v>
      </c>
      <c r="B58" s="7"/>
      <c r="C58" s="7"/>
      <c r="D58" s="13"/>
      <c r="E58" s="13"/>
      <c r="F58" s="13"/>
    </row>
    <row r="59" spans="1:6" outlineLevel="1" x14ac:dyDescent="0.2">
      <c r="A59" s="7" t="s">
        <v>68</v>
      </c>
      <c r="B59" s="24">
        <v>1</v>
      </c>
      <c r="C59" s="25">
        <f>B59</f>
        <v>1</v>
      </c>
      <c r="D59" s="25">
        <f t="shared" ref="D59:F59" si="14">C59</f>
        <v>1</v>
      </c>
      <c r="E59" s="25">
        <f t="shared" si="14"/>
        <v>1</v>
      </c>
      <c r="F59" s="25">
        <f t="shared" si="14"/>
        <v>1</v>
      </c>
    </row>
    <row r="60" spans="1:6" outlineLevel="1" x14ac:dyDescent="0.2">
      <c r="A60" s="16" t="s">
        <v>9</v>
      </c>
      <c r="B60" s="11">
        <f>B59*SUM(B19:B21)</f>
        <v>450000</v>
      </c>
      <c r="C60" s="11">
        <f t="shared" ref="C60:F60" si="15">C59*SUM(C19:C21)</f>
        <v>450000</v>
      </c>
      <c r="D60" s="11">
        <f t="shared" si="15"/>
        <v>450000</v>
      </c>
      <c r="E60" s="11">
        <f t="shared" si="15"/>
        <v>450000</v>
      </c>
      <c r="F60" s="11">
        <f t="shared" si="15"/>
        <v>450000</v>
      </c>
    </row>
    <row r="61" spans="1:6" outlineLevel="1" x14ac:dyDescent="0.2">
      <c r="A61" s="7" t="s">
        <v>46</v>
      </c>
      <c r="B61" s="20">
        <v>2</v>
      </c>
      <c r="C61" s="21">
        <f t="shared" ref="C61:F61" si="16">B61*(1+$B$10)</f>
        <v>2.06</v>
      </c>
      <c r="D61" s="21">
        <f t="shared" si="16"/>
        <v>2.1217999999999999</v>
      </c>
      <c r="E61" s="21">
        <f t="shared" si="16"/>
        <v>2.185454</v>
      </c>
      <c r="F61" s="21">
        <f t="shared" si="16"/>
        <v>2.2510176200000003</v>
      </c>
    </row>
    <row r="62" spans="1:6" outlineLevel="1" x14ac:dyDescent="0.2">
      <c r="A62" s="7" t="s">
        <v>47</v>
      </c>
      <c r="B62" s="10">
        <v>100000</v>
      </c>
      <c r="C62" s="11">
        <f>B62*(1+$B$10)</f>
        <v>103000</v>
      </c>
      <c r="D62" s="11">
        <f t="shared" ref="D62:F62" si="17">C62*(1+$B$10)</f>
        <v>106090</v>
      </c>
      <c r="E62" s="11">
        <f t="shared" si="17"/>
        <v>109272.7</v>
      </c>
      <c r="F62" s="11">
        <f t="shared" si="17"/>
        <v>112550.88099999999</v>
      </c>
    </row>
    <row r="63" spans="1:6" outlineLevel="1" x14ac:dyDescent="0.2">
      <c r="A63" s="7" t="s">
        <v>12</v>
      </c>
      <c r="B63" s="10">
        <v>100</v>
      </c>
      <c r="C63" s="10">
        <v>100</v>
      </c>
      <c r="D63" s="10">
        <v>100</v>
      </c>
      <c r="E63" s="10">
        <v>100</v>
      </c>
      <c r="F63" s="10">
        <v>100</v>
      </c>
    </row>
    <row r="64" spans="1:6" outlineLevel="1" x14ac:dyDescent="0.2">
      <c r="A64" s="7" t="s">
        <v>48</v>
      </c>
      <c r="B64" s="10">
        <v>90000</v>
      </c>
      <c r="C64" s="11">
        <f>B64*(1+$B$10)</f>
        <v>92700</v>
      </c>
      <c r="D64" s="11">
        <f t="shared" ref="D64:F64" si="18">C64*(1+$B$10)</f>
        <v>95481</v>
      </c>
      <c r="E64" s="11">
        <f t="shared" si="18"/>
        <v>98345.430000000008</v>
      </c>
      <c r="F64" s="11">
        <f t="shared" si="18"/>
        <v>101295.79290000001</v>
      </c>
    </row>
    <row r="65" spans="1:6" outlineLevel="1" x14ac:dyDescent="0.2">
      <c r="A65" s="7" t="s">
        <v>56</v>
      </c>
      <c r="B65" s="10">
        <v>300</v>
      </c>
      <c r="C65" s="10">
        <v>300</v>
      </c>
      <c r="D65" s="10">
        <v>300</v>
      </c>
      <c r="E65" s="10">
        <v>300</v>
      </c>
      <c r="F65" s="10">
        <v>300</v>
      </c>
    </row>
    <row r="66" spans="1:6" outlineLevel="1" x14ac:dyDescent="0.2">
      <c r="A66" s="7" t="s">
        <v>57</v>
      </c>
      <c r="B66" s="10">
        <v>20000</v>
      </c>
      <c r="C66" s="10">
        <v>20000</v>
      </c>
      <c r="D66" s="10">
        <v>20000</v>
      </c>
      <c r="E66" s="10">
        <v>20000</v>
      </c>
      <c r="F66" s="10">
        <v>20000</v>
      </c>
    </row>
    <row r="67" spans="1:6" outlineLevel="1" x14ac:dyDescent="0.2">
      <c r="A67" s="7" t="s">
        <v>49</v>
      </c>
      <c r="B67" s="20">
        <v>35</v>
      </c>
      <c r="C67" s="21">
        <f>B67*(1+$B$10)</f>
        <v>36.050000000000004</v>
      </c>
      <c r="D67" s="21">
        <f t="shared" ref="D67:F67" si="19">C67*(1+$B$10)</f>
        <v>37.131500000000003</v>
      </c>
      <c r="E67" s="21">
        <f t="shared" si="19"/>
        <v>38.245445000000004</v>
      </c>
      <c r="F67" s="21">
        <f t="shared" si="19"/>
        <v>39.392808350000003</v>
      </c>
    </row>
    <row r="68" spans="1:6" outlineLevel="1" x14ac:dyDescent="0.2">
      <c r="A68" s="7" t="s">
        <v>58</v>
      </c>
      <c r="B68" s="10">
        <v>10000</v>
      </c>
      <c r="C68" s="11">
        <f>B68*(1+$B$10)</f>
        <v>10300</v>
      </c>
      <c r="D68" s="11">
        <f t="shared" ref="D68:F69" si="20">C68*(1+$B$10)</f>
        <v>10609</v>
      </c>
      <c r="E68" s="11">
        <f t="shared" si="20"/>
        <v>10927.27</v>
      </c>
      <c r="F68" s="11">
        <f t="shared" si="20"/>
        <v>11255.088100000001</v>
      </c>
    </row>
    <row r="69" spans="1:6" outlineLevel="1" x14ac:dyDescent="0.2">
      <c r="A69" s="7" t="s">
        <v>50</v>
      </c>
      <c r="B69" s="10">
        <v>500000</v>
      </c>
      <c r="C69" s="11">
        <f>B69*(1+$B$10)</f>
        <v>515000</v>
      </c>
      <c r="D69" s="11">
        <f t="shared" si="20"/>
        <v>530450</v>
      </c>
      <c r="E69" s="11">
        <f t="shared" si="20"/>
        <v>546363.5</v>
      </c>
      <c r="F69" s="11">
        <f t="shared" si="20"/>
        <v>562754.40500000003</v>
      </c>
    </row>
    <row r="70" spans="1:6" outlineLevel="1" x14ac:dyDescent="0.2">
      <c r="A70" s="7" t="s">
        <v>51</v>
      </c>
      <c r="B70" s="10">
        <v>100000</v>
      </c>
      <c r="C70" s="11">
        <f t="shared" ref="C70:F71" si="21">B70*(1+$B$10)</f>
        <v>103000</v>
      </c>
      <c r="D70" s="11">
        <f t="shared" si="21"/>
        <v>106090</v>
      </c>
      <c r="E70" s="11">
        <f t="shared" si="21"/>
        <v>109272.7</v>
      </c>
      <c r="F70" s="11">
        <f t="shared" si="21"/>
        <v>112550.88099999999</v>
      </c>
    </row>
    <row r="71" spans="1:6" outlineLevel="1" x14ac:dyDescent="0.2">
      <c r="A71" s="7" t="s">
        <v>52</v>
      </c>
      <c r="B71" s="10">
        <v>100000</v>
      </c>
      <c r="C71" s="11">
        <f t="shared" si="21"/>
        <v>103000</v>
      </c>
      <c r="D71" s="11">
        <f t="shared" si="21"/>
        <v>106090</v>
      </c>
      <c r="E71" s="11">
        <f t="shared" si="21"/>
        <v>109272.7</v>
      </c>
      <c r="F71" s="11">
        <f t="shared" si="21"/>
        <v>112550.88099999999</v>
      </c>
    </row>
    <row r="72" spans="1:6" outlineLevel="1" x14ac:dyDescent="0.2">
      <c r="B72" s="9"/>
    </row>
    <row r="73" spans="1:6" x14ac:dyDescent="0.2">
      <c r="A73" s="33" t="s">
        <v>15</v>
      </c>
      <c r="B73" s="34" t="s">
        <v>16</v>
      </c>
      <c r="C73" s="34" t="s">
        <v>17</v>
      </c>
      <c r="D73" s="34" t="s">
        <v>18</v>
      </c>
      <c r="E73" s="34" t="s">
        <v>19</v>
      </c>
      <c r="F73" s="34" t="s">
        <v>20</v>
      </c>
    </row>
    <row r="75" spans="1:6" x14ac:dyDescent="0.2">
      <c r="A75" s="26" t="s">
        <v>22</v>
      </c>
      <c r="B75" s="27">
        <f>SUM(B76:B78)</f>
        <v>22385000</v>
      </c>
      <c r="C75" s="27">
        <f t="shared" ref="C75:F75" si="22">SUM(C76:C78)</f>
        <v>22906550.000000004</v>
      </c>
      <c r="D75" s="27">
        <f t="shared" si="22"/>
        <v>23443746.500000004</v>
      </c>
      <c r="E75" s="27">
        <f t="shared" si="22"/>
        <v>23997058.895000003</v>
      </c>
      <c r="F75" s="27">
        <f t="shared" si="22"/>
        <v>24566970.661850005</v>
      </c>
    </row>
    <row r="76" spans="1:6" x14ac:dyDescent="0.2">
      <c r="A76" s="4" t="s">
        <v>23</v>
      </c>
      <c r="B76" s="28">
        <f>SUMPRODUCT(B19:B21,B24:B26)</f>
        <v>14075000</v>
      </c>
      <c r="C76" s="28">
        <f>SUMPRODUCT(C19:C21,C24:C26)</f>
        <v>14497250.000000002</v>
      </c>
      <c r="D76" s="28">
        <f>SUMPRODUCT(D19:D21,D24:D26)</f>
        <v>14932167.500000002</v>
      </c>
      <c r="E76" s="28">
        <f>SUMPRODUCT(E19:E21,E24:E26)</f>
        <v>15380132.525000002</v>
      </c>
      <c r="F76" s="28">
        <f>SUMPRODUCT(F19:F21,F24:F26)</f>
        <v>15841536.500750003</v>
      </c>
    </row>
    <row r="77" spans="1:6" x14ac:dyDescent="0.2">
      <c r="A77" s="4" t="s">
        <v>25</v>
      </c>
      <c r="B77" s="28">
        <f>B35*B34</f>
        <v>3310000</v>
      </c>
      <c r="C77" s="28">
        <f>C35*C34</f>
        <v>3409300.0000000005</v>
      </c>
      <c r="D77" s="28">
        <f>D35*D34</f>
        <v>3511579.0000000005</v>
      </c>
      <c r="E77" s="28">
        <f>E35*E34</f>
        <v>3616926.3700000006</v>
      </c>
      <c r="F77" s="28">
        <f>F35*F34</f>
        <v>3725434.1611000006</v>
      </c>
    </row>
    <row r="78" spans="1:6" x14ac:dyDescent="0.2">
      <c r="A78" s="4" t="s">
        <v>24</v>
      </c>
      <c r="B78" s="28">
        <v>5000000</v>
      </c>
      <c r="C78" s="28">
        <v>5000000</v>
      </c>
      <c r="D78" s="28">
        <v>5000000</v>
      </c>
      <c r="E78" s="28">
        <v>5000000</v>
      </c>
      <c r="F78" s="28">
        <v>5000000</v>
      </c>
    </row>
    <row r="79" spans="1:6" x14ac:dyDescent="0.2">
      <c r="B79" s="28"/>
      <c r="C79" s="28"/>
      <c r="D79" s="28"/>
      <c r="E79" s="28"/>
      <c r="F79" s="28"/>
    </row>
    <row r="80" spans="1:6" x14ac:dyDescent="0.2">
      <c r="A80" s="26" t="s">
        <v>26</v>
      </c>
      <c r="B80" s="27">
        <f>SUM(B81:B92)</f>
        <v>21723281.25</v>
      </c>
      <c r="C80" s="27">
        <f t="shared" ref="C80:F80" si="23">SUM(C81:C92)</f>
        <v>22346179.6875</v>
      </c>
      <c r="D80" s="27">
        <f t="shared" si="23"/>
        <v>22987765.078125</v>
      </c>
      <c r="E80" s="27">
        <f t="shared" si="23"/>
        <v>23648598.030468747</v>
      </c>
      <c r="F80" s="27">
        <f t="shared" si="23"/>
        <v>24329255.971382815</v>
      </c>
    </row>
    <row r="81" spans="1:6" x14ac:dyDescent="0.2">
      <c r="A81" s="4" t="s">
        <v>31</v>
      </c>
      <c r="B81" s="28">
        <f>B52*B49*1000*B53</f>
        <v>3258281.25</v>
      </c>
      <c r="C81" s="28">
        <f t="shared" ref="C81:F81" si="24">C52*C49*1000*C53</f>
        <v>3356029.6875</v>
      </c>
      <c r="D81" s="28">
        <f t="shared" si="24"/>
        <v>3456710.578125</v>
      </c>
      <c r="E81" s="28">
        <f t="shared" si="24"/>
        <v>3560411.89546875</v>
      </c>
      <c r="F81" s="28">
        <f t="shared" si="24"/>
        <v>3667224.2523328126</v>
      </c>
    </row>
    <row r="82" spans="1:6" x14ac:dyDescent="0.2">
      <c r="A82" s="4" t="s">
        <v>30</v>
      </c>
      <c r="B82" s="28">
        <f>B56*B54</f>
        <v>1650000</v>
      </c>
      <c r="C82" s="28">
        <f t="shared" ref="C82:F82" si="25">C56*C54</f>
        <v>1699500</v>
      </c>
      <c r="D82" s="28">
        <f t="shared" si="25"/>
        <v>1750485</v>
      </c>
      <c r="E82" s="28">
        <f t="shared" si="25"/>
        <v>1802999.55</v>
      </c>
      <c r="F82" s="28">
        <f t="shared" si="25"/>
        <v>1857089.5365000002</v>
      </c>
    </row>
    <row r="83" spans="1:6" x14ac:dyDescent="0.2">
      <c r="A83" s="4" t="s">
        <v>37</v>
      </c>
      <c r="B83" s="28">
        <f>B61*B60</f>
        <v>900000</v>
      </c>
      <c r="C83" s="28">
        <f t="shared" ref="C83:F83" si="26">C61*C60</f>
        <v>927000</v>
      </c>
      <c r="D83" s="28">
        <f t="shared" si="26"/>
        <v>954810</v>
      </c>
      <c r="E83" s="28">
        <f t="shared" si="26"/>
        <v>983454.3</v>
      </c>
      <c r="F83" s="28">
        <f t="shared" si="26"/>
        <v>1012957.9290000001</v>
      </c>
    </row>
    <row r="84" spans="1:6" x14ac:dyDescent="0.2">
      <c r="A84" s="4" t="s">
        <v>38</v>
      </c>
      <c r="B84" s="28">
        <f>B62</f>
        <v>100000</v>
      </c>
      <c r="C84" s="28">
        <f t="shared" ref="C84:F84" si="27">C62</f>
        <v>103000</v>
      </c>
      <c r="D84" s="28">
        <f t="shared" si="27"/>
        <v>106090</v>
      </c>
      <c r="E84" s="28">
        <f t="shared" si="27"/>
        <v>109272.7</v>
      </c>
      <c r="F84" s="28">
        <f t="shared" si="27"/>
        <v>112550.88099999999</v>
      </c>
    </row>
    <row r="85" spans="1:6" x14ac:dyDescent="0.2">
      <c r="A85" s="4" t="s">
        <v>28</v>
      </c>
      <c r="B85" s="28">
        <f>B64*B63</f>
        <v>9000000</v>
      </c>
      <c r="C85" s="28">
        <f t="shared" ref="C85:F85" si="28">C64*C63</f>
        <v>9270000</v>
      </c>
      <c r="D85" s="28">
        <f t="shared" si="28"/>
        <v>9548100</v>
      </c>
      <c r="E85" s="28">
        <f t="shared" si="28"/>
        <v>9834543</v>
      </c>
      <c r="F85" s="28">
        <f t="shared" si="28"/>
        <v>10129579.290000001</v>
      </c>
    </row>
    <row r="86" spans="1:6" x14ac:dyDescent="0.2">
      <c r="A86" s="4" t="s">
        <v>27</v>
      </c>
      <c r="B86" s="28">
        <f>B54*B55</f>
        <v>1155000</v>
      </c>
      <c r="C86" s="28">
        <f t="shared" ref="C86:F86" si="29">C54*C55</f>
        <v>1189650</v>
      </c>
      <c r="D86" s="28">
        <f t="shared" si="29"/>
        <v>1225339.5</v>
      </c>
      <c r="E86" s="28">
        <f t="shared" si="29"/>
        <v>1262099.6850000001</v>
      </c>
      <c r="F86" s="28">
        <f t="shared" si="29"/>
        <v>1299962.67555</v>
      </c>
    </row>
    <row r="87" spans="1:6" x14ac:dyDescent="0.2">
      <c r="A87" s="4" t="s">
        <v>29</v>
      </c>
      <c r="B87" s="28">
        <f>B67*B66</f>
        <v>700000</v>
      </c>
      <c r="C87" s="28">
        <f t="shared" ref="C87:F87" si="30">C67*C66</f>
        <v>721000.00000000012</v>
      </c>
      <c r="D87" s="28">
        <f t="shared" si="30"/>
        <v>742630</v>
      </c>
      <c r="E87" s="28">
        <f t="shared" si="30"/>
        <v>764908.9</v>
      </c>
      <c r="F87" s="28">
        <f t="shared" si="30"/>
        <v>787856.16700000002</v>
      </c>
    </row>
    <row r="88" spans="1:6" x14ac:dyDescent="0.2">
      <c r="A88" s="4" t="s">
        <v>59</v>
      </c>
      <c r="B88" s="28">
        <f>B68*B54</f>
        <v>3300000</v>
      </c>
      <c r="C88" s="28">
        <f t="shared" ref="C88:F88" si="31">C68*C54</f>
        <v>3399000</v>
      </c>
      <c r="D88" s="28">
        <f t="shared" si="31"/>
        <v>3500970</v>
      </c>
      <c r="E88" s="28">
        <f t="shared" si="31"/>
        <v>3605999.1</v>
      </c>
      <c r="F88" s="28">
        <f t="shared" si="31"/>
        <v>3714179.0730000003</v>
      </c>
    </row>
    <row r="89" spans="1:6" x14ac:dyDescent="0.2">
      <c r="A89" s="4" t="s">
        <v>13</v>
      </c>
      <c r="B89" s="28">
        <f>B69</f>
        <v>500000</v>
      </c>
      <c r="C89" s="28">
        <f t="shared" ref="C89:F89" si="32">C69</f>
        <v>515000</v>
      </c>
      <c r="D89" s="28">
        <f t="shared" si="32"/>
        <v>530450</v>
      </c>
      <c r="E89" s="28">
        <f t="shared" si="32"/>
        <v>546363.5</v>
      </c>
      <c r="F89" s="28">
        <f t="shared" si="32"/>
        <v>562754.40500000003</v>
      </c>
    </row>
    <row r="90" spans="1:6" x14ac:dyDescent="0.2">
      <c r="A90" s="4" t="s">
        <v>14</v>
      </c>
      <c r="B90" s="28">
        <f>B70</f>
        <v>100000</v>
      </c>
      <c r="C90" s="28">
        <f t="shared" ref="C90:F90" si="33">C70</f>
        <v>103000</v>
      </c>
      <c r="D90" s="28">
        <f t="shared" si="33"/>
        <v>106090</v>
      </c>
      <c r="E90" s="28">
        <f t="shared" si="33"/>
        <v>109272.7</v>
      </c>
      <c r="F90" s="28">
        <f t="shared" si="33"/>
        <v>112550.88099999999</v>
      </c>
    </row>
    <row r="91" spans="1:6" x14ac:dyDescent="0.2">
      <c r="A91" s="4" t="s">
        <v>36</v>
      </c>
      <c r="B91" s="28">
        <f>B71</f>
        <v>100000</v>
      </c>
      <c r="C91" s="28">
        <f t="shared" ref="C91:F91" si="34">C71</f>
        <v>103000</v>
      </c>
      <c r="D91" s="28">
        <f t="shared" si="34"/>
        <v>106090</v>
      </c>
      <c r="E91" s="28">
        <f t="shared" si="34"/>
        <v>109272.7</v>
      </c>
      <c r="F91" s="28">
        <f t="shared" si="34"/>
        <v>112550.88099999999</v>
      </c>
    </row>
    <row r="92" spans="1:6" x14ac:dyDescent="0.2">
      <c r="A92" s="4" t="s">
        <v>32</v>
      </c>
      <c r="B92" s="28">
        <f>$B$14*$B$13*$B$15</f>
        <v>960000</v>
      </c>
      <c r="C92" s="28">
        <f t="shared" ref="C92:F92" si="35">$B$14*$B$13*$B$15</f>
        <v>960000</v>
      </c>
      <c r="D92" s="28">
        <f t="shared" si="35"/>
        <v>960000</v>
      </c>
      <c r="E92" s="28">
        <f t="shared" si="35"/>
        <v>960000</v>
      </c>
      <c r="F92" s="28">
        <f t="shared" si="35"/>
        <v>960000</v>
      </c>
    </row>
    <row r="94" spans="1:6" x14ac:dyDescent="0.2">
      <c r="A94" s="26" t="s">
        <v>33</v>
      </c>
      <c r="B94" s="27">
        <f>B75-B80</f>
        <v>661718.75</v>
      </c>
      <c r="C94" s="27">
        <f t="shared" ref="C94:F94" si="36">C75-C80</f>
        <v>560370.31250000373</v>
      </c>
      <c r="D94" s="27">
        <f t="shared" si="36"/>
        <v>455981.42187500373</v>
      </c>
      <c r="E94" s="27">
        <f t="shared" si="36"/>
        <v>348460.86453125626</v>
      </c>
      <c r="F94" s="27">
        <f t="shared" si="36"/>
        <v>237714.69046719</v>
      </c>
    </row>
    <row r="95" spans="1:6" x14ac:dyDescent="0.2">
      <c r="A95" s="4" t="s">
        <v>34</v>
      </c>
      <c r="B95" s="29">
        <f>B16</f>
        <v>0.4</v>
      </c>
      <c r="C95" s="29">
        <f>C16</f>
        <v>0.4</v>
      </c>
      <c r="D95" s="29">
        <f>D16</f>
        <v>0.4</v>
      </c>
      <c r="E95" s="29">
        <f>E16</f>
        <v>0.4</v>
      </c>
      <c r="F95" s="29">
        <f>F16</f>
        <v>0.4</v>
      </c>
    </row>
    <row r="96" spans="1:6" x14ac:dyDescent="0.2">
      <c r="A96" s="4" t="s">
        <v>60</v>
      </c>
      <c r="B96" s="28">
        <f>IF(B94&gt;0,B95*B94,0)</f>
        <v>264687.5</v>
      </c>
      <c r="C96" s="28">
        <f t="shared" ref="C96:F96" si="37">IF(C94&gt;0,C95*C94,0)</f>
        <v>224148.12500000151</v>
      </c>
      <c r="D96" s="28">
        <f t="shared" si="37"/>
        <v>182392.56875000149</v>
      </c>
      <c r="E96" s="28">
        <f t="shared" si="37"/>
        <v>139384.34581250252</v>
      </c>
      <c r="F96" s="28">
        <f t="shared" si="37"/>
        <v>95085.876186876005</v>
      </c>
    </row>
    <row r="97" spans="1:6" x14ac:dyDescent="0.2">
      <c r="A97" s="26" t="s">
        <v>35</v>
      </c>
      <c r="B97" s="27">
        <f>B94-B96</f>
        <v>397031.25</v>
      </c>
      <c r="C97" s="27">
        <f t="shared" ref="C97:F97" si="38">C94-C96</f>
        <v>336222.18750000221</v>
      </c>
      <c r="D97" s="27">
        <f t="shared" si="38"/>
        <v>273588.85312500224</v>
      </c>
      <c r="E97" s="27">
        <f t="shared" si="38"/>
        <v>209076.51871875374</v>
      </c>
      <c r="F97" s="27">
        <f t="shared" si="38"/>
        <v>142628.81428031399</v>
      </c>
    </row>
    <row r="99" spans="1:6" x14ac:dyDescent="0.2">
      <c r="A99" s="4" t="s">
        <v>84</v>
      </c>
      <c r="B99" s="28">
        <f>B94+B92</f>
        <v>1621718.75</v>
      </c>
      <c r="C99" s="28">
        <f t="shared" ref="C99:F99" si="39">C94+C92</f>
        <v>1520370.3125000037</v>
      </c>
      <c r="D99" s="28">
        <f t="shared" si="39"/>
        <v>1415981.4218750037</v>
      </c>
      <c r="E99" s="28">
        <f t="shared" si="39"/>
        <v>1308460.8645312563</v>
      </c>
      <c r="F99" s="28">
        <f t="shared" si="39"/>
        <v>1197714.69046719</v>
      </c>
    </row>
    <row r="100" spans="1:6" ht="13.5" thickBot="1" x14ac:dyDescent="0.25">
      <c r="A100" s="4" t="s">
        <v>85</v>
      </c>
      <c r="B100" s="28"/>
      <c r="C100" s="28"/>
      <c r="D100" s="28"/>
      <c r="E100" s="28"/>
      <c r="F100" s="28">
        <f>F99*Fin!D13</f>
        <v>8683431.5058871284</v>
      </c>
    </row>
    <row r="101" spans="1:6" ht="14.25" thickTop="1" thickBot="1" x14ac:dyDescent="0.25">
      <c r="A101" s="4" t="s">
        <v>86</v>
      </c>
      <c r="B101" s="30">
        <f>NPV(Model!D9,Model!B99:E99,(Model!F99+Model!F100))</f>
        <v>15747677.545260582</v>
      </c>
      <c r="C101" s="28"/>
      <c r="D101" s="28"/>
      <c r="E101" s="28"/>
      <c r="F101" s="28"/>
    </row>
    <row r="102" spans="1:6" ht="13.5" thickTop="1" x14ac:dyDescent="0.2"/>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1"/>
  <sheetViews>
    <sheetView workbookViewId="0"/>
  </sheetViews>
  <sheetFormatPr defaultRowHeight="12.75" x14ac:dyDescent="0.2"/>
  <cols>
    <col min="1" max="4" width="36.7109375" customWidth="1"/>
  </cols>
  <sheetData>
    <row r="1" spans="1:16" x14ac:dyDescent="0.2">
      <c r="A1" s="1" t="s">
        <v>87</v>
      </c>
    </row>
    <row r="2" spans="1:16" x14ac:dyDescent="0.2">
      <c r="P2" t="e">
        <f ca="1">_xll.CB.RecalcCounterFN()</f>
        <v>#NAME?</v>
      </c>
    </row>
    <row r="3" spans="1:16" x14ac:dyDescent="0.2">
      <c r="A3" t="s">
        <v>88</v>
      </c>
      <c r="B3" t="s">
        <v>89</v>
      </c>
      <c r="C3">
        <v>0</v>
      </c>
    </row>
    <row r="4" spans="1:16" x14ac:dyDescent="0.2">
      <c r="A4" t="s">
        <v>90</v>
      </c>
    </row>
    <row r="5" spans="1:16" x14ac:dyDescent="0.2">
      <c r="A5" t="s">
        <v>91</v>
      </c>
    </row>
    <row r="7" spans="1:16" x14ac:dyDescent="0.2">
      <c r="A7" s="1" t="s">
        <v>92</v>
      </c>
      <c r="B7" t="s">
        <v>93</v>
      </c>
    </row>
    <row r="8" spans="1:16" x14ac:dyDescent="0.2">
      <c r="B8">
        <v>4</v>
      </c>
    </row>
    <row r="10" spans="1:16" x14ac:dyDescent="0.2">
      <c r="A10" t="s">
        <v>94</v>
      </c>
    </row>
    <row r="11" spans="1:16" x14ac:dyDescent="0.2">
      <c r="A11" t="e">
        <f>CB_DATA_!#REF!</f>
        <v>#REF!</v>
      </c>
      <c r="B11" t="e">
        <f>#REF!</f>
        <v>#REF!</v>
      </c>
      <c r="C11" t="e">
        <f>#REF!</f>
        <v>#REF!</v>
      </c>
      <c r="D11" t="e">
        <f>Demand!#REF!</f>
        <v>#REF!</v>
      </c>
    </row>
    <row r="13" spans="1:16" x14ac:dyDescent="0.2">
      <c r="A13" t="s">
        <v>95</v>
      </c>
    </row>
    <row r="14" spans="1:16" x14ac:dyDescent="0.2">
      <c r="A14" t="s">
        <v>99</v>
      </c>
      <c r="B14" t="s">
        <v>103</v>
      </c>
      <c r="C14" t="s">
        <v>110</v>
      </c>
      <c r="D14" t="s">
        <v>113</v>
      </c>
    </row>
    <row r="16" spans="1:16" x14ac:dyDescent="0.2">
      <c r="A16" t="s">
        <v>96</v>
      </c>
    </row>
    <row r="19" spans="1:4" x14ac:dyDescent="0.2">
      <c r="A19" t="s">
        <v>97</v>
      </c>
    </row>
    <row r="20" spans="1:4" x14ac:dyDescent="0.2">
      <c r="A20">
        <v>28</v>
      </c>
      <c r="B20">
        <v>31</v>
      </c>
      <c r="C20">
        <v>26</v>
      </c>
      <c r="D20">
        <v>31</v>
      </c>
    </row>
    <row r="25" spans="1:4" x14ac:dyDescent="0.2">
      <c r="A25" s="1" t="s">
        <v>98</v>
      </c>
    </row>
    <row r="26" spans="1:4" x14ac:dyDescent="0.2">
      <c r="A26" s="2" t="s">
        <v>100</v>
      </c>
      <c r="B26" s="2" t="s">
        <v>105</v>
      </c>
      <c r="D26" s="2" t="s">
        <v>104</v>
      </c>
    </row>
    <row r="27" spans="1:4" x14ac:dyDescent="0.2">
      <c r="A27" t="s">
        <v>101</v>
      </c>
      <c r="B27" t="s">
        <v>107</v>
      </c>
      <c r="D27" t="s">
        <v>116</v>
      </c>
    </row>
    <row r="28" spans="1:4" x14ac:dyDescent="0.2">
      <c r="A28" s="2" t="s">
        <v>102</v>
      </c>
      <c r="B28" s="2" t="s">
        <v>106</v>
      </c>
      <c r="D28" s="2" t="s">
        <v>102</v>
      </c>
    </row>
    <row r="29" spans="1:4" x14ac:dyDescent="0.2">
      <c r="B29" s="2" t="s">
        <v>100</v>
      </c>
      <c r="D29" s="2" t="s">
        <v>100</v>
      </c>
    </row>
    <row r="30" spans="1:4" x14ac:dyDescent="0.2">
      <c r="B30" t="s">
        <v>108</v>
      </c>
      <c r="D30" t="s">
        <v>114</v>
      </c>
    </row>
    <row r="31" spans="1:4" x14ac:dyDescent="0.2">
      <c r="B31" s="2" t="s">
        <v>102</v>
      </c>
      <c r="D31" s="2" t="s">
        <v>102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8000"/>
  </sheetPr>
  <dimension ref="A1:S28"/>
  <sheetViews>
    <sheetView workbookViewId="0">
      <selection activeCell="D7" sqref="D7"/>
    </sheetView>
  </sheetViews>
  <sheetFormatPr defaultRowHeight="12.75" x14ac:dyDescent="0.2"/>
  <cols>
    <col min="1" max="1" width="17.140625" style="4" customWidth="1"/>
    <col min="2" max="2" width="17.7109375" style="4" customWidth="1"/>
    <col min="3" max="3" width="10.28515625" style="4" bestFit="1" customWidth="1"/>
    <col min="4" max="4" width="17.42578125" customWidth="1"/>
    <col min="5" max="6" width="12.140625" style="4" customWidth="1"/>
    <col min="7" max="19" width="9.140625" style="4"/>
  </cols>
  <sheetData>
    <row r="1" spans="1:10" s="4" customFormat="1" x14ac:dyDescent="0.2"/>
    <row r="2" spans="1:10" s="4" customFormat="1" x14ac:dyDescent="0.2">
      <c r="A2" s="7" t="s">
        <v>118</v>
      </c>
      <c r="B2" s="12">
        <v>0.2</v>
      </c>
      <c r="J2" s="4" t="s">
        <v>117</v>
      </c>
    </row>
    <row r="3" spans="1:10" s="4" customFormat="1" x14ac:dyDescent="0.2"/>
    <row r="4" spans="1:10" s="4" customFormat="1" x14ac:dyDescent="0.2">
      <c r="A4" s="35" t="s">
        <v>124</v>
      </c>
    </row>
    <row r="5" spans="1:10" s="4" customFormat="1" x14ac:dyDescent="0.2"/>
    <row r="6" spans="1:10" s="4" customFormat="1" x14ac:dyDescent="0.2">
      <c r="A6" s="36" t="s">
        <v>69</v>
      </c>
      <c r="B6" s="36" t="s">
        <v>111</v>
      </c>
      <c r="C6" s="36" t="s">
        <v>109</v>
      </c>
      <c r="D6" s="36" t="s">
        <v>112</v>
      </c>
      <c r="E6" s="36" t="s">
        <v>86</v>
      </c>
      <c r="F6" s="36" t="s">
        <v>115</v>
      </c>
    </row>
    <row r="7" spans="1:10" x14ac:dyDescent="0.2">
      <c r="A7" s="42">
        <v>95</v>
      </c>
      <c r="B7" s="28">
        <v>100000</v>
      </c>
      <c r="C7" s="28">
        <f>B7*$B$2</f>
        <v>20000</v>
      </c>
      <c r="D7" s="3">
        <v>110000</v>
      </c>
      <c r="E7" s="41">
        <f>Model!$B$101</f>
        <v>15747677.545260582</v>
      </c>
      <c r="F7" s="41">
        <f>IF(E7&gt;0,1,0)</f>
        <v>1</v>
      </c>
    </row>
    <row r="8" spans="1:10" x14ac:dyDescent="0.2">
      <c r="A8" s="28">
        <v>165</v>
      </c>
      <c r="B8" s="28">
        <v>84526.31578947368</v>
      </c>
      <c r="C8" s="28">
        <f t="shared" ref="C8:C9" si="0">B8*$B$2</f>
        <v>16905.263157894737</v>
      </c>
      <c r="D8" s="28"/>
      <c r="E8" s="28"/>
      <c r="F8" s="28"/>
    </row>
    <row r="9" spans="1:10" x14ac:dyDescent="0.2">
      <c r="A9" s="28">
        <v>235</v>
      </c>
      <c r="B9" s="28">
        <v>55789.473684210519</v>
      </c>
      <c r="C9" s="28">
        <f t="shared" si="0"/>
        <v>11157.894736842105</v>
      </c>
      <c r="D9" s="28"/>
      <c r="E9" s="28"/>
      <c r="F9" s="28"/>
    </row>
    <row r="10" spans="1:10" s="4" customFormat="1" x14ac:dyDescent="0.2">
      <c r="D10" s="28"/>
      <c r="E10" s="28"/>
      <c r="F10" s="28"/>
    </row>
    <row r="11" spans="1:10" s="4" customFormat="1" x14ac:dyDescent="0.2">
      <c r="A11" s="35" t="s">
        <v>125</v>
      </c>
      <c r="D11" s="28"/>
      <c r="E11" s="28"/>
      <c r="F11" s="28"/>
    </row>
    <row r="12" spans="1:10" s="4" customFormat="1" x14ac:dyDescent="0.2">
      <c r="D12" s="28"/>
      <c r="E12" s="28"/>
      <c r="F12" s="28"/>
    </row>
    <row r="13" spans="1:10" s="4" customFormat="1" x14ac:dyDescent="0.2">
      <c r="A13" s="36" t="s">
        <v>69</v>
      </c>
      <c r="B13" s="36" t="s">
        <v>111</v>
      </c>
      <c r="C13" s="36" t="s">
        <v>109</v>
      </c>
      <c r="D13" s="37" t="s">
        <v>112</v>
      </c>
      <c r="E13" s="37" t="s">
        <v>86</v>
      </c>
      <c r="F13" s="36" t="s">
        <v>115</v>
      </c>
    </row>
    <row r="14" spans="1:10" x14ac:dyDescent="0.2">
      <c r="A14" s="37">
        <v>95</v>
      </c>
      <c r="B14" s="37">
        <v>107350</v>
      </c>
      <c r="C14" s="37">
        <f>B14*$B$2</f>
        <v>21470</v>
      </c>
      <c r="D14" s="37"/>
      <c r="E14" s="37"/>
      <c r="F14" s="37"/>
    </row>
    <row r="15" spans="1:10" x14ac:dyDescent="0.2">
      <c r="A15" s="37">
        <v>165</v>
      </c>
      <c r="B15" s="37">
        <v>90739</v>
      </c>
      <c r="C15" s="37">
        <f t="shared" ref="C15:C16" si="1">B15*$B$2</f>
        <v>18147.8</v>
      </c>
      <c r="D15" s="37"/>
      <c r="E15" s="37"/>
      <c r="F15" s="37"/>
    </row>
    <row r="16" spans="1:10" x14ac:dyDescent="0.2">
      <c r="A16" s="37">
        <v>235</v>
      </c>
      <c r="B16" s="37">
        <v>59889.999999999993</v>
      </c>
      <c r="C16" s="37">
        <f t="shared" si="1"/>
        <v>11978</v>
      </c>
      <c r="D16" s="37"/>
      <c r="E16" s="37"/>
      <c r="F16" s="37"/>
    </row>
    <row r="17" s="4" customFormat="1" x14ac:dyDescent="0.2"/>
    <row r="18" s="4" customFormat="1" x14ac:dyDescent="0.2"/>
    <row r="19" s="4" customFormat="1" x14ac:dyDescent="0.2"/>
    <row r="20" s="4" customFormat="1" x14ac:dyDescent="0.2"/>
    <row r="21" s="4" customFormat="1" x14ac:dyDescent="0.2"/>
    <row r="22" s="4" customFormat="1" x14ac:dyDescent="0.2"/>
    <row r="23" s="4" customFormat="1" x14ac:dyDescent="0.2"/>
    <row r="24" s="4" customFormat="1" x14ac:dyDescent="0.2"/>
    <row r="25" s="4" customFormat="1" x14ac:dyDescent="0.2"/>
    <row r="26" s="4" customFormat="1" x14ac:dyDescent="0.2"/>
    <row r="27" s="4" customFormat="1" x14ac:dyDescent="0.2"/>
    <row r="28" s="4" customFormat="1"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J13"/>
  <sheetViews>
    <sheetView workbookViewId="0">
      <selection activeCell="F16" sqref="F16"/>
    </sheetView>
  </sheetViews>
  <sheetFormatPr defaultRowHeight="12.75" x14ac:dyDescent="0.2"/>
  <cols>
    <col min="1" max="1" width="2" style="4" bestFit="1" customWidth="1"/>
    <col min="2" max="3" width="9.140625" style="4"/>
    <col min="4" max="4" width="7.140625" style="4" bestFit="1" customWidth="1"/>
    <col min="5" max="16384" width="9.140625" style="4"/>
  </cols>
  <sheetData>
    <row r="2" spans="1:10" x14ac:dyDescent="0.2">
      <c r="A2" s="4" t="s">
        <v>61</v>
      </c>
      <c r="B2" s="16" t="s">
        <v>83</v>
      </c>
      <c r="D2" s="29">
        <v>0.4</v>
      </c>
      <c r="F2" s="4" t="s">
        <v>82</v>
      </c>
      <c r="H2" s="38">
        <f>D6+(D7*D8)</f>
        <v>8.5499999999999993E-2</v>
      </c>
      <c r="J2" s="4" t="s">
        <v>81</v>
      </c>
    </row>
    <row r="3" spans="1:10" x14ac:dyDescent="0.2">
      <c r="B3" s="16" t="s">
        <v>80</v>
      </c>
      <c r="D3" s="29">
        <f>1-D2</f>
        <v>0.6</v>
      </c>
      <c r="F3" s="4" t="s">
        <v>79</v>
      </c>
      <c r="H3" s="38">
        <f>D11*(1-D10)</f>
        <v>4.2000000000000003E-2</v>
      </c>
      <c r="J3" s="4" t="s">
        <v>78</v>
      </c>
    </row>
    <row r="4" spans="1:10" x14ac:dyDescent="0.2">
      <c r="B4" s="16" t="s">
        <v>77</v>
      </c>
      <c r="D4" s="39">
        <f>D2/D3</f>
        <v>0.66666666666666674</v>
      </c>
      <c r="F4" s="4" t="s">
        <v>76</v>
      </c>
      <c r="H4" s="38">
        <f>(D2*H3)+(D3*H2)</f>
        <v>6.8099999999999994E-2</v>
      </c>
      <c r="J4" s="4" t="s">
        <v>75</v>
      </c>
    </row>
    <row r="5" spans="1:10" x14ac:dyDescent="0.2">
      <c r="B5" s="16"/>
      <c r="D5" s="39"/>
    </row>
    <row r="6" spans="1:10" x14ac:dyDescent="0.2">
      <c r="B6" s="16" t="s">
        <v>74</v>
      </c>
      <c r="D6" s="38">
        <v>2.6700000000000002E-2</v>
      </c>
    </row>
    <row r="7" spans="1:10" x14ac:dyDescent="0.2">
      <c r="B7" s="16" t="s">
        <v>73</v>
      </c>
      <c r="D7" s="4">
        <v>1</v>
      </c>
    </row>
    <row r="8" spans="1:10" x14ac:dyDescent="0.2">
      <c r="B8" s="16" t="s">
        <v>72</v>
      </c>
      <c r="D8" s="38">
        <v>5.8799999999999998E-2</v>
      </c>
    </row>
    <row r="9" spans="1:10" x14ac:dyDescent="0.2">
      <c r="B9" s="16"/>
    </row>
    <row r="10" spans="1:10" x14ac:dyDescent="0.2">
      <c r="B10" s="16" t="s">
        <v>34</v>
      </c>
      <c r="D10" s="29">
        <v>0.4</v>
      </c>
    </row>
    <row r="11" spans="1:10" x14ac:dyDescent="0.2">
      <c r="A11" s="4" t="s">
        <v>61</v>
      </c>
      <c r="B11" s="16" t="s">
        <v>71</v>
      </c>
      <c r="D11" s="29">
        <v>7.0000000000000007E-2</v>
      </c>
    </row>
    <row r="13" spans="1:10" x14ac:dyDescent="0.2">
      <c r="B13" s="16" t="s">
        <v>70</v>
      </c>
      <c r="D13" s="40">
        <v>7.25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sheetPr>
  <dimension ref="A1:M80"/>
  <sheetViews>
    <sheetView zoomScaleNormal="100" workbookViewId="0"/>
  </sheetViews>
  <sheetFormatPr defaultRowHeight="15" x14ac:dyDescent="0.25"/>
  <cols>
    <col min="1" max="1" width="9.140625" style="44"/>
    <col min="2" max="2" width="14.140625" style="44" bestFit="1" customWidth="1"/>
    <col min="3" max="3" width="14.140625" style="44" customWidth="1"/>
    <col min="4" max="4" width="10.5703125" style="44" bestFit="1" customWidth="1"/>
    <col min="5" max="5" width="10.5703125" style="44" customWidth="1"/>
    <col min="6" max="6" width="19.28515625" style="44" customWidth="1"/>
    <col min="7" max="7" width="37.42578125" style="44" customWidth="1"/>
    <col min="8" max="8" width="35.140625" style="44" customWidth="1"/>
    <col min="9" max="9" width="31.5703125" style="44" customWidth="1"/>
    <col min="10" max="11" width="28" style="44" customWidth="1"/>
    <col min="12" max="16384" width="9.140625" style="44"/>
  </cols>
  <sheetData>
    <row r="1" spans="1:13" x14ac:dyDescent="0.25">
      <c r="A1" s="44" t="s">
        <v>183</v>
      </c>
      <c r="B1" s="44" t="s">
        <v>184</v>
      </c>
      <c r="C1" s="44" t="s">
        <v>186</v>
      </c>
      <c r="D1" s="44" t="s">
        <v>205</v>
      </c>
      <c r="E1" s="44" t="s">
        <v>204</v>
      </c>
      <c r="F1" s="44" t="s">
        <v>185</v>
      </c>
    </row>
    <row r="2" spans="1:13" x14ac:dyDescent="0.25">
      <c r="A2" s="70">
        <v>95</v>
      </c>
      <c r="B2" s="67">
        <v>0</v>
      </c>
      <c r="C2" s="67">
        <f>1-B2</f>
        <v>1</v>
      </c>
      <c r="D2" s="68">
        <v>12600000</v>
      </c>
      <c r="E2" s="68">
        <v>4100000</v>
      </c>
      <c r="F2" s="69">
        <f>(B2*D2)+(C2*E2)</f>
        <v>4100000</v>
      </c>
      <c r="H2" s="63"/>
    </row>
    <row r="3" spans="1:13" x14ac:dyDescent="0.25">
      <c r="A3" s="66">
        <f>A2</f>
        <v>95</v>
      </c>
      <c r="B3" s="67">
        <v>0.2</v>
      </c>
      <c r="C3" s="67">
        <f t="shared" ref="C3:C10" si="0">1-B3</f>
        <v>0.8</v>
      </c>
      <c r="D3" s="68">
        <f>D2</f>
        <v>12600000</v>
      </c>
      <c r="E3" s="68">
        <f>E2</f>
        <v>4100000</v>
      </c>
      <c r="F3" s="69">
        <f t="shared" ref="F3:F10" si="1">(B3*D3)+(C3*E3)</f>
        <v>5800000</v>
      </c>
    </row>
    <row r="4" spans="1:13" x14ac:dyDescent="0.25">
      <c r="A4" s="66">
        <f>A3</f>
        <v>95</v>
      </c>
      <c r="B4" s="67">
        <v>0.3</v>
      </c>
      <c r="C4" s="67">
        <f t="shared" si="0"/>
        <v>0.7</v>
      </c>
      <c r="D4" s="68">
        <f>D3</f>
        <v>12600000</v>
      </c>
      <c r="E4" s="68">
        <f>E3</f>
        <v>4100000</v>
      </c>
      <c r="F4" s="69">
        <f t="shared" si="1"/>
        <v>6650000</v>
      </c>
    </row>
    <row r="5" spans="1:13" x14ac:dyDescent="0.25">
      <c r="A5" s="66">
        <v>165</v>
      </c>
      <c r="B5" s="67">
        <v>0</v>
      </c>
      <c r="C5" s="67">
        <f>1-B5</f>
        <v>1</v>
      </c>
      <c r="D5" s="68">
        <v>76400000</v>
      </c>
      <c r="E5" s="68">
        <v>63800000</v>
      </c>
      <c r="F5" s="69">
        <f t="shared" si="1"/>
        <v>63800000</v>
      </c>
    </row>
    <row r="6" spans="1:13" x14ac:dyDescent="0.25">
      <c r="A6" s="66">
        <f>A5</f>
        <v>165</v>
      </c>
      <c r="B6" s="67">
        <v>0.2</v>
      </c>
      <c r="C6" s="67">
        <f t="shared" si="0"/>
        <v>0.8</v>
      </c>
      <c r="D6" s="68">
        <f>D5</f>
        <v>76400000</v>
      </c>
      <c r="E6" s="68">
        <f>E5</f>
        <v>63800000</v>
      </c>
      <c r="F6" s="69">
        <f t="shared" si="1"/>
        <v>66320000</v>
      </c>
    </row>
    <row r="7" spans="1:13" x14ac:dyDescent="0.25">
      <c r="A7" s="66">
        <f>A6</f>
        <v>165</v>
      </c>
      <c r="B7" s="67">
        <v>0.3</v>
      </c>
      <c r="C7" s="67">
        <f t="shared" si="0"/>
        <v>0.7</v>
      </c>
      <c r="D7" s="68">
        <f>D6</f>
        <v>76400000</v>
      </c>
      <c r="E7" s="68">
        <f>E6</f>
        <v>63800000</v>
      </c>
      <c r="F7" s="69">
        <f t="shared" si="1"/>
        <v>67580000</v>
      </c>
    </row>
    <row r="8" spans="1:13" x14ac:dyDescent="0.25">
      <c r="A8" s="66">
        <v>235</v>
      </c>
      <c r="B8" s="67">
        <v>0</v>
      </c>
      <c r="C8" s="67">
        <f>1-B8</f>
        <v>1</v>
      </c>
      <c r="D8" s="68">
        <v>65200000</v>
      </c>
      <c r="E8" s="68">
        <v>54500000</v>
      </c>
      <c r="F8" s="69">
        <f t="shared" si="1"/>
        <v>54500000</v>
      </c>
    </row>
    <row r="9" spans="1:13" x14ac:dyDescent="0.25">
      <c r="A9" s="66">
        <f>A8</f>
        <v>235</v>
      </c>
      <c r="B9" s="67">
        <v>0.2</v>
      </c>
      <c r="C9" s="67">
        <f t="shared" si="0"/>
        <v>0.8</v>
      </c>
      <c r="D9" s="68">
        <f>D8</f>
        <v>65200000</v>
      </c>
      <c r="E9" s="68">
        <f>E8</f>
        <v>54500000</v>
      </c>
      <c r="F9" s="69">
        <f t="shared" si="1"/>
        <v>56640000</v>
      </c>
    </row>
    <row r="10" spans="1:13" x14ac:dyDescent="0.25">
      <c r="A10" s="66">
        <f>A9</f>
        <v>235</v>
      </c>
      <c r="B10" s="67">
        <v>0.3</v>
      </c>
      <c r="C10" s="67">
        <f t="shared" si="0"/>
        <v>0.7</v>
      </c>
      <c r="D10" s="68">
        <f>D9</f>
        <v>65200000</v>
      </c>
      <c r="E10" s="68">
        <f>E9</f>
        <v>54500000</v>
      </c>
      <c r="F10" s="69">
        <f t="shared" si="1"/>
        <v>57710000</v>
      </c>
    </row>
    <row r="11" spans="1:13" x14ac:dyDescent="0.25">
      <c r="F11" s="64">
        <f>SUM(F2:F10)</f>
        <v>383100000</v>
      </c>
    </row>
    <row r="13" spans="1:13" x14ac:dyDescent="0.25">
      <c r="F13" s="46"/>
    </row>
    <row r="16" spans="1:13" x14ac:dyDescent="0.25">
      <c r="L16" s="44" t="s">
        <v>203</v>
      </c>
      <c r="M16" s="55"/>
    </row>
    <row r="17" spans="7:13" x14ac:dyDescent="0.25">
      <c r="M17" s="55"/>
    </row>
    <row r="19" spans="7:13" customFormat="1" ht="15" customHeight="1" x14ac:dyDescent="0.25">
      <c r="H19" s="44"/>
      <c r="I19" s="47">
        <f>$B$6</f>
        <v>0.2</v>
      </c>
      <c r="J19" s="48">
        <f>_xll.PTreeNodeProbability(treeCalc_1!$F$2,4)</f>
        <v>0</v>
      </c>
    </row>
    <row r="20" spans="7:13" customFormat="1" ht="15" customHeight="1" x14ac:dyDescent="0.25">
      <c r="H20" s="44"/>
      <c r="I20" s="65">
        <f>$D$6</f>
        <v>76400000</v>
      </c>
      <c r="J20" s="45">
        <f>_xll.PTreeNodeValue(treeCalc_1!$F$2,4)</f>
        <v>76400000</v>
      </c>
    </row>
    <row r="21" spans="7:13" customFormat="1" ht="15" customHeight="1" x14ac:dyDescent="0.25">
      <c r="H21" s="58" t="b">
        <v>1</v>
      </c>
      <c r="I21" s="49" t="s">
        <v>206</v>
      </c>
      <c r="J21" s="44"/>
    </row>
    <row r="22" spans="7:13" customFormat="1" ht="15" customHeight="1" x14ac:dyDescent="0.25">
      <c r="H22" s="43">
        <v>0</v>
      </c>
      <c r="I22" s="50">
        <f>_xll.PTreeNodeValue(treeCalc_1!$F$2,3)</f>
        <v>66320000</v>
      </c>
      <c r="J22" s="44"/>
    </row>
    <row r="23" spans="7:13" customFormat="1" ht="15" customHeight="1" x14ac:dyDescent="0.25">
      <c r="H23" s="44"/>
      <c r="I23" s="47">
        <f>$C$6</f>
        <v>0.8</v>
      </c>
      <c r="J23" s="48">
        <f>_xll.PTreeNodeProbability(treeCalc_1!$F$2,5)</f>
        <v>0</v>
      </c>
    </row>
    <row r="24" spans="7:13" customFormat="1" ht="15" customHeight="1" x14ac:dyDescent="0.25">
      <c r="H24" s="44"/>
      <c r="I24" s="65">
        <f>$E$6</f>
        <v>63800000</v>
      </c>
      <c r="J24" s="45">
        <f>_xll.PTreeNodeValue(treeCalc_1!$F$2,5)</f>
        <v>63800000</v>
      </c>
    </row>
    <row r="25" spans="7:13" customFormat="1" ht="15" customHeight="1" x14ac:dyDescent="0.2">
      <c r="G25" s="54" t="b">
        <f>_xll.PTreeNodeDecision(treeCalc_1!$F$2,2)</f>
        <v>0</v>
      </c>
      <c r="H25" s="56" t="s">
        <v>178</v>
      </c>
      <c r="I25" s="43"/>
      <c r="J25" s="45"/>
    </row>
    <row r="26" spans="7:13" customFormat="1" ht="15" customHeight="1" x14ac:dyDescent="0.2">
      <c r="G26" s="53"/>
      <c r="H26" s="57">
        <f>_xll.PTreeNodeValue(treeCalc_1!$F$2,2)</f>
        <v>66320000</v>
      </c>
      <c r="I26" s="43"/>
      <c r="J26" s="45"/>
    </row>
    <row r="27" spans="7:13" customFormat="1" ht="15" customHeight="1" x14ac:dyDescent="0.2">
      <c r="I27" s="47">
        <f>$B$7</f>
        <v>0.3</v>
      </c>
      <c r="J27" s="48">
        <f>_xll.PTreeNodeProbability(treeCalc_1!$F$2,7)</f>
        <v>0</v>
      </c>
    </row>
    <row r="28" spans="7:13" customFormat="1" ht="15" customHeight="1" x14ac:dyDescent="0.2">
      <c r="I28" s="65">
        <f>$D$7</f>
        <v>76400000</v>
      </c>
      <c r="J28" s="45">
        <f>_xll.PTreeNodeValue(treeCalc_1!$F$2,7)</f>
        <v>76400000</v>
      </c>
    </row>
    <row r="29" spans="7:13" customFormat="1" ht="15" customHeight="1" x14ac:dyDescent="0.25">
      <c r="H29" s="59" t="b">
        <v>0</v>
      </c>
      <c r="I29" s="49" t="s">
        <v>126</v>
      </c>
      <c r="J29" s="44"/>
    </row>
    <row r="30" spans="7:13" customFormat="1" ht="15" customHeight="1" x14ac:dyDescent="0.25">
      <c r="H30" s="53">
        <v>0</v>
      </c>
      <c r="I30" s="50">
        <f>_xll.PTreeNodeValue(treeCalc_1!$F$2,6)</f>
        <v>67580000</v>
      </c>
      <c r="J30" s="44"/>
    </row>
    <row r="31" spans="7:13" customFormat="1" ht="15" customHeight="1" x14ac:dyDescent="0.2">
      <c r="I31" s="47">
        <f>$C$7</f>
        <v>0.7</v>
      </c>
      <c r="J31" s="48">
        <f>_xll.PTreeNodeProbability(treeCalc_1!$F$2,8)</f>
        <v>0</v>
      </c>
    </row>
    <row r="32" spans="7:13" customFormat="1" ht="15" customHeight="1" x14ac:dyDescent="0.2">
      <c r="I32" s="65">
        <f>$E$7</f>
        <v>63800000</v>
      </c>
      <c r="J32" s="45">
        <f>_xll.PTreeNodeValue(treeCalc_1!$F$2,8)</f>
        <v>63800000</v>
      </c>
    </row>
    <row r="33" spans="6:10" customFormat="1" ht="15" customHeight="1" x14ac:dyDescent="0.2">
      <c r="I33" s="47">
        <f>$B$5</f>
        <v>0</v>
      </c>
      <c r="J33" s="48">
        <f>_xll.PTreeNodeProbability(treeCalc_1!$F$2,10)</f>
        <v>0</v>
      </c>
    </row>
    <row r="34" spans="6:10" customFormat="1" ht="15" customHeight="1" x14ac:dyDescent="0.2">
      <c r="I34" s="65">
        <f>$D$5</f>
        <v>76400000</v>
      </c>
      <c r="J34" s="45">
        <f>_xll.PTreeNodeValue(treeCalc_1!$F$2,10)</f>
        <v>76400000</v>
      </c>
    </row>
    <row r="35" spans="6:10" customFormat="1" ht="15" customHeight="1" x14ac:dyDescent="0.25">
      <c r="H35" s="53" t="b">
        <v>0</v>
      </c>
      <c r="I35" s="49" t="s">
        <v>126</v>
      </c>
      <c r="J35" s="44"/>
    </row>
    <row r="36" spans="6:10" customFormat="1" ht="15" customHeight="1" x14ac:dyDescent="0.25">
      <c r="H36" s="53">
        <v>0</v>
      </c>
      <c r="I36" s="50">
        <f>_xll.PTreeNodeValue(treeCalc_1!$F$2,9)</f>
        <v>63800000</v>
      </c>
      <c r="J36" s="44"/>
    </row>
    <row r="37" spans="6:10" customFormat="1" ht="15" customHeight="1" x14ac:dyDescent="0.2">
      <c r="I37" s="47">
        <f>$C$5</f>
        <v>1</v>
      </c>
      <c r="J37" s="48">
        <f>_xll.PTreeNodeProbability(treeCalc_1!$F$2,11)</f>
        <v>0</v>
      </c>
    </row>
    <row r="38" spans="6:10" customFormat="1" ht="15" customHeight="1" x14ac:dyDescent="0.2">
      <c r="I38" s="65">
        <f>$E$5</f>
        <v>63800000</v>
      </c>
      <c r="J38" s="45">
        <f>_xll.PTreeNodeValue(treeCalc_1!$F$2,11)</f>
        <v>63800000</v>
      </c>
    </row>
    <row r="39" spans="6:10" customFormat="1" ht="15" customHeight="1" x14ac:dyDescent="0.25">
      <c r="F39" s="53"/>
      <c r="G39" s="51" t="s">
        <v>175</v>
      </c>
      <c r="H39" s="44"/>
      <c r="I39" s="44"/>
      <c r="J39" s="44"/>
    </row>
    <row r="40" spans="6:10" customFormat="1" ht="15" customHeight="1" x14ac:dyDescent="0.25">
      <c r="F40" s="53"/>
      <c r="G40" s="52">
        <f>_xll.PTreeNodeValue(treeCalc_1!$F$2,1)</f>
        <v>4100000</v>
      </c>
      <c r="H40" s="44"/>
      <c r="I40" s="44"/>
      <c r="J40" s="44"/>
    </row>
    <row r="41" spans="6:10" customFormat="1" ht="15" customHeight="1" x14ac:dyDescent="0.25">
      <c r="H41" s="44"/>
      <c r="I41" s="47">
        <f>$B$9</f>
        <v>0.2</v>
      </c>
      <c r="J41" s="48">
        <f>_xll.PTreeNodeProbability(treeCalc_1!$F$2,14)</f>
        <v>0</v>
      </c>
    </row>
    <row r="42" spans="6:10" customFormat="1" ht="15" customHeight="1" x14ac:dyDescent="0.25">
      <c r="H42" s="44"/>
      <c r="I42" s="65">
        <f>$D$9</f>
        <v>65200000</v>
      </c>
      <c r="J42" s="45">
        <f>_xll.PTreeNodeValue(treeCalc_1!$F$2,14)</f>
        <v>65200000</v>
      </c>
    </row>
    <row r="43" spans="6:10" customFormat="1" ht="15" customHeight="1" x14ac:dyDescent="0.25">
      <c r="H43" s="58" t="b">
        <v>1</v>
      </c>
      <c r="I43" s="49" t="s">
        <v>126</v>
      </c>
      <c r="J43" s="44"/>
    </row>
    <row r="44" spans="6:10" customFormat="1" ht="15" customHeight="1" x14ac:dyDescent="0.25">
      <c r="H44" s="43">
        <v>0</v>
      </c>
      <c r="I44" s="50">
        <f>_xll.PTreeNodeValue(treeCalc_1!$F$2,13)</f>
        <v>56640000</v>
      </c>
      <c r="J44" s="44"/>
    </row>
    <row r="45" spans="6:10" customFormat="1" ht="15" customHeight="1" x14ac:dyDescent="0.25">
      <c r="H45" s="44"/>
      <c r="I45" s="47">
        <f>$C$9</f>
        <v>0.8</v>
      </c>
      <c r="J45" s="48">
        <f>_xll.PTreeNodeProbability(treeCalc_1!$F$2,15)</f>
        <v>0</v>
      </c>
    </row>
    <row r="46" spans="6:10" customFormat="1" ht="15" customHeight="1" x14ac:dyDescent="0.25">
      <c r="H46" s="44"/>
      <c r="I46" s="65">
        <f>$E$9</f>
        <v>54500000</v>
      </c>
      <c r="J46" s="45">
        <f>_xll.PTreeNodeValue(treeCalc_1!$F$2,15)</f>
        <v>54500000</v>
      </c>
    </row>
    <row r="47" spans="6:10" customFormat="1" ht="15" customHeight="1" x14ac:dyDescent="0.2">
      <c r="G47" s="54" t="b">
        <f>_xll.PTreeNodeDecision(treeCalc_1!$F$2,12)</f>
        <v>0</v>
      </c>
      <c r="H47" s="56" t="s">
        <v>178</v>
      </c>
      <c r="I47" s="43"/>
      <c r="J47" s="45"/>
    </row>
    <row r="48" spans="6:10" customFormat="1" ht="15" customHeight="1" x14ac:dyDescent="0.2">
      <c r="G48" s="53"/>
      <c r="H48" s="57">
        <f>_xll.PTreeNodeValue(treeCalc_1!$F$2,12)</f>
        <v>56640000</v>
      </c>
      <c r="I48" s="43"/>
      <c r="J48" s="45"/>
    </row>
    <row r="49" spans="8:10" customFormat="1" ht="15" customHeight="1" x14ac:dyDescent="0.2">
      <c r="I49" s="47">
        <f>$B$10</f>
        <v>0.3</v>
      </c>
      <c r="J49" s="48">
        <f>_xll.PTreeNodeProbability(treeCalc_1!$F$2,17)</f>
        <v>0</v>
      </c>
    </row>
    <row r="50" spans="8:10" customFormat="1" ht="15" customHeight="1" x14ac:dyDescent="0.2">
      <c r="I50" s="65">
        <f>$D$10</f>
        <v>65200000</v>
      </c>
      <c r="J50" s="45">
        <f>_xll.PTreeNodeValue(treeCalc_1!$F$2,17)</f>
        <v>65200000</v>
      </c>
    </row>
    <row r="51" spans="8:10" customFormat="1" ht="15" customHeight="1" x14ac:dyDescent="0.25">
      <c r="H51" s="59" t="b">
        <v>0</v>
      </c>
      <c r="I51" s="49" t="s">
        <v>126</v>
      </c>
      <c r="J51" s="44"/>
    </row>
    <row r="52" spans="8:10" customFormat="1" ht="15" customHeight="1" x14ac:dyDescent="0.25">
      <c r="H52" s="53">
        <v>0</v>
      </c>
      <c r="I52" s="50">
        <f>_xll.PTreeNodeValue(treeCalc_1!$F$2,16)</f>
        <v>57710000</v>
      </c>
      <c r="J52" s="44"/>
    </row>
    <row r="53" spans="8:10" customFormat="1" ht="15" customHeight="1" x14ac:dyDescent="0.2">
      <c r="I53" s="47">
        <f>$C$10</f>
        <v>0.7</v>
      </c>
      <c r="J53" s="48">
        <f>_xll.PTreeNodeProbability(treeCalc_1!$F$2,18)</f>
        <v>0</v>
      </c>
    </row>
    <row r="54" spans="8:10" customFormat="1" ht="15" customHeight="1" x14ac:dyDescent="0.2">
      <c r="I54" s="65">
        <f>$E$10</f>
        <v>54500000</v>
      </c>
      <c r="J54" s="45">
        <f>_xll.PTreeNodeValue(treeCalc_1!$F$2,18)</f>
        <v>54500000</v>
      </c>
    </row>
    <row r="55" spans="8:10" customFormat="1" ht="15" customHeight="1" x14ac:dyDescent="0.2">
      <c r="I55" s="47">
        <f>$B$8</f>
        <v>0</v>
      </c>
      <c r="J55" s="48">
        <f>_xll.PTreeNodeProbability(treeCalc_1!$F$2,20)</f>
        <v>0</v>
      </c>
    </row>
    <row r="56" spans="8:10" customFormat="1" ht="15" customHeight="1" x14ac:dyDescent="0.2">
      <c r="I56" s="65">
        <f>$D$8</f>
        <v>65200000</v>
      </c>
      <c r="J56" s="45">
        <f>_xll.PTreeNodeValue(treeCalc_1!$F$2,20)</f>
        <v>65200000</v>
      </c>
    </row>
    <row r="57" spans="8:10" customFormat="1" ht="15" customHeight="1" x14ac:dyDescent="0.25">
      <c r="H57" s="53" t="b">
        <v>0</v>
      </c>
      <c r="I57" s="49" t="s">
        <v>126</v>
      </c>
      <c r="J57" s="44"/>
    </row>
    <row r="58" spans="8:10" customFormat="1" ht="15" customHeight="1" x14ac:dyDescent="0.25">
      <c r="H58" s="53">
        <v>0</v>
      </c>
      <c r="I58" s="50">
        <f>_xll.PTreeNodeValue(treeCalc_1!$F$2,19)</f>
        <v>54500000</v>
      </c>
      <c r="J58" s="44"/>
    </row>
    <row r="59" spans="8:10" customFormat="1" ht="15" customHeight="1" x14ac:dyDescent="0.2">
      <c r="I59" s="47">
        <f>$C$8</f>
        <v>1</v>
      </c>
      <c r="J59" s="48">
        <f>_xll.PTreeNodeProbability(treeCalc_1!$F$2,21)</f>
        <v>0</v>
      </c>
    </row>
    <row r="60" spans="8:10" customFormat="1" ht="15" customHeight="1" x14ac:dyDescent="0.2">
      <c r="I60" s="65">
        <f>$E$8</f>
        <v>54500000</v>
      </c>
      <c r="J60" s="45">
        <f>_xll.PTreeNodeValue(treeCalc_1!$F$2,21)</f>
        <v>54500000</v>
      </c>
    </row>
    <row r="61" spans="8:10" customFormat="1" ht="15" customHeight="1" x14ac:dyDescent="0.25">
      <c r="H61" s="44"/>
      <c r="I61" s="47">
        <f>$B$3</f>
        <v>0.2</v>
      </c>
      <c r="J61" s="48">
        <f>_xll.PTreeNodeProbability(treeCalc_1!$F$2,24)</f>
        <v>0</v>
      </c>
    </row>
    <row r="62" spans="8:10" customFormat="1" ht="15" customHeight="1" x14ac:dyDescent="0.25">
      <c r="H62" s="44"/>
      <c r="I62" s="65">
        <f>$D$3</f>
        <v>12600000</v>
      </c>
      <c r="J62" s="45">
        <f>_xll.PTreeNodeValue(treeCalc_1!$F$2,24)</f>
        <v>12600000</v>
      </c>
    </row>
    <row r="63" spans="8:10" customFormat="1" ht="15" customHeight="1" x14ac:dyDescent="0.25">
      <c r="H63" s="58" t="b">
        <v>0</v>
      </c>
      <c r="I63" s="49" t="s">
        <v>126</v>
      </c>
      <c r="J63" s="44"/>
    </row>
    <row r="64" spans="8:10" customFormat="1" ht="15" customHeight="1" x14ac:dyDescent="0.25">
      <c r="H64" s="43"/>
      <c r="I64" s="50">
        <f>_xll.PTreeNodeValue(treeCalc_1!$F$2,23)</f>
        <v>5800000</v>
      </c>
      <c r="J64" s="44"/>
    </row>
    <row r="65" spans="7:10" customFormat="1" ht="15" customHeight="1" x14ac:dyDescent="0.25">
      <c r="H65" s="44"/>
      <c r="I65" s="47">
        <f>$C$3</f>
        <v>0.8</v>
      </c>
      <c r="J65" s="48">
        <f>_xll.PTreeNodeProbability(treeCalc_1!$F$2,25)</f>
        <v>0</v>
      </c>
    </row>
    <row r="66" spans="7:10" customFormat="1" ht="15" customHeight="1" x14ac:dyDescent="0.25">
      <c r="H66" s="44"/>
      <c r="I66" s="65">
        <f>$E$3</f>
        <v>4100000</v>
      </c>
      <c r="J66" s="45">
        <f>_xll.PTreeNodeValue(treeCalc_1!$F$2,25)</f>
        <v>4100000</v>
      </c>
    </row>
    <row r="67" spans="7:10" customFormat="1" ht="15" customHeight="1" x14ac:dyDescent="0.2">
      <c r="G67" s="54" t="b">
        <f>_xll.PTreeNodeDecision(treeCalc_1!$F$2,22)</f>
        <v>1</v>
      </c>
      <c r="H67" s="56" t="s">
        <v>178</v>
      </c>
      <c r="I67" s="43"/>
      <c r="J67" s="45"/>
    </row>
    <row r="68" spans="7:10" customFormat="1" ht="15" customHeight="1" x14ac:dyDescent="0.2">
      <c r="G68" s="53"/>
      <c r="H68" s="57">
        <f>_xll.PTreeNodeValue(treeCalc_1!$F$2,22)</f>
        <v>4100000</v>
      </c>
      <c r="I68" s="43"/>
      <c r="J68" s="45"/>
    </row>
    <row r="69" spans="7:10" customFormat="1" ht="15" customHeight="1" x14ac:dyDescent="0.2">
      <c r="I69" s="47">
        <f>$B$4</f>
        <v>0.3</v>
      </c>
      <c r="J69" s="48">
        <f>_xll.PTreeNodeProbability(treeCalc_1!$F$2,30)</f>
        <v>0</v>
      </c>
    </row>
    <row r="70" spans="7:10" customFormat="1" ht="15" customHeight="1" x14ac:dyDescent="0.2">
      <c r="I70" s="65">
        <f>$D$4</f>
        <v>12600000</v>
      </c>
      <c r="J70" s="45">
        <f>_xll.PTreeNodeValue(treeCalc_1!$F$2,30)</f>
        <v>12600000</v>
      </c>
    </row>
    <row r="71" spans="7:10" customFormat="1" ht="15" customHeight="1" x14ac:dyDescent="0.25">
      <c r="H71" s="53" t="b">
        <v>0</v>
      </c>
      <c r="I71" s="49" t="s">
        <v>126</v>
      </c>
      <c r="J71" s="44"/>
    </row>
    <row r="72" spans="7:10" customFormat="1" ht="15" customHeight="1" x14ac:dyDescent="0.25">
      <c r="H72" s="53"/>
      <c r="I72" s="50">
        <f>_xll.PTreeNodeValue(treeCalc_1!$F$2,29)</f>
        <v>6650000</v>
      </c>
      <c r="J72" s="44"/>
    </row>
    <row r="73" spans="7:10" customFormat="1" ht="15" customHeight="1" x14ac:dyDescent="0.2">
      <c r="I73" s="47">
        <f>$C$4</f>
        <v>0.7</v>
      </c>
      <c r="J73" s="48">
        <f>_xll.PTreeNodeProbability(treeCalc_1!$F$2,31)</f>
        <v>0</v>
      </c>
    </row>
    <row r="74" spans="7:10" customFormat="1" ht="15" customHeight="1" x14ac:dyDescent="0.2">
      <c r="I74" s="65">
        <f>$E$4</f>
        <v>4100000</v>
      </c>
      <c r="J74" s="45">
        <f>_xll.PTreeNodeValue(treeCalc_1!$F$2,31)</f>
        <v>4100000</v>
      </c>
    </row>
    <row r="75" spans="7:10" customFormat="1" ht="15" customHeight="1" x14ac:dyDescent="0.2">
      <c r="I75" s="47">
        <f>$B$2</f>
        <v>0</v>
      </c>
      <c r="J75" s="48">
        <f>_xll.PTreeNodeProbability(treeCalc_1!$F$2,27)</f>
        <v>0</v>
      </c>
    </row>
    <row r="76" spans="7:10" customFormat="1" ht="15" customHeight="1" x14ac:dyDescent="0.2">
      <c r="I76" s="65">
        <f>$D$2</f>
        <v>12600000</v>
      </c>
      <c r="J76" s="45">
        <f>_xll.PTreeNodeValue(treeCalc_1!$F$2,27)</f>
        <v>12600000</v>
      </c>
    </row>
    <row r="77" spans="7:10" customFormat="1" ht="15" customHeight="1" x14ac:dyDescent="0.25">
      <c r="H77" s="59" t="b">
        <v>1</v>
      </c>
      <c r="I77" s="49" t="s">
        <v>126</v>
      </c>
      <c r="J77" s="44"/>
    </row>
    <row r="78" spans="7:10" customFormat="1" ht="15" customHeight="1" x14ac:dyDescent="0.25">
      <c r="H78" s="53"/>
      <c r="I78" s="50">
        <f>_xll.PTreeNodeValue(treeCalc_1!$F$2,26)</f>
        <v>4100000</v>
      </c>
      <c r="J78" s="44"/>
    </row>
    <row r="79" spans="7:10" customFormat="1" ht="15" customHeight="1" x14ac:dyDescent="0.2">
      <c r="I79" s="47">
        <f>$C$2</f>
        <v>1</v>
      </c>
      <c r="J79" s="48">
        <f>_xll.PTreeNodeProbability(treeCalc_1!$F$2,28)</f>
        <v>1</v>
      </c>
    </row>
    <row r="80" spans="7:10" customFormat="1" ht="15" customHeight="1" x14ac:dyDescent="0.2">
      <c r="I80" s="65">
        <f>$E$2</f>
        <v>4100000</v>
      </c>
      <c r="J80" s="45">
        <f>_xll.PTreeNodeValue(treeCalc_1!$F$2,28)</f>
        <v>4100000</v>
      </c>
    </row>
  </sheetData>
  <pageMargins left="0.7" right="0.7" top="0.75" bottom="0.75" header="0.3" footer="0.3"/>
  <pageSetup paperSize="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workbookViewId="0">
      <selection activeCell="C23" sqref="C23"/>
    </sheetView>
  </sheetViews>
  <sheetFormatPr defaultColWidth="15.7109375" defaultRowHeight="12.75" x14ac:dyDescent="0.2"/>
  <cols>
    <col min="1" max="16384" width="15.7109375" style="60"/>
  </cols>
  <sheetData>
    <row r="1" spans="1:16" x14ac:dyDescent="0.2">
      <c r="A1" s="60" t="s">
        <v>127</v>
      </c>
      <c r="B1" s="61" t="s">
        <v>213</v>
      </c>
      <c r="E1" s="60" t="s">
        <v>128</v>
      </c>
      <c r="F1" s="60">
        <v>3</v>
      </c>
      <c r="H1" s="60" t="s">
        <v>129</v>
      </c>
      <c r="I1" s="61" t="s">
        <v>130</v>
      </c>
      <c r="K1" s="60" t="s">
        <v>131</v>
      </c>
      <c r="L1" s="60">
        <v>100</v>
      </c>
    </row>
    <row r="2" spans="1:16" x14ac:dyDescent="0.2">
      <c r="A2" s="60" t="s">
        <v>132</v>
      </c>
      <c r="B2" s="60" t="e">
        <f>'Precision Tree'!#REF!</f>
        <v>#REF!</v>
      </c>
      <c r="E2" s="60" t="s">
        <v>133</v>
      </c>
      <c r="F2" s="60">
        <f>_xll.PTreeEvaluate5(B3,$L$11:$L$41,$J$11:$J$41,$K$11:$K$41,$N$11:$N$41,$G$11:$G$41,,L1)</f>
        <v>128641</v>
      </c>
    </row>
    <row r="3" spans="1:16" x14ac:dyDescent="0.2">
      <c r="A3" s="60" t="s">
        <v>134</v>
      </c>
      <c r="B3" s="60" t="s">
        <v>174</v>
      </c>
      <c r="E3" s="60" t="s">
        <v>136</v>
      </c>
      <c r="F3" s="61" t="s">
        <v>137</v>
      </c>
      <c r="H3" s="60" t="s">
        <v>138</v>
      </c>
      <c r="I3" s="62" t="s">
        <v>139</v>
      </c>
    </row>
    <row r="4" spans="1:16" x14ac:dyDescent="0.2">
      <c r="A4" s="60" t="s">
        <v>140</v>
      </c>
      <c r="B4" s="60" t="s">
        <v>141</v>
      </c>
      <c r="E4" s="60" t="s">
        <v>142</v>
      </c>
      <c r="F4" s="61" t="s">
        <v>143</v>
      </c>
      <c r="H4" s="60" t="s">
        <v>144</v>
      </c>
      <c r="I4" s="61" t="s">
        <v>145</v>
      </c>
    </row>
    <row r="5" spans="1:16" x14ac:dyDescent="0.2">
      <c r="A5" s="60" t="s">
        <v>146</v>
      </c>
      <c r="B5" s="60">
        <v>0</v>
      </c>
      <c r="E5" s="60" t="s">
        <v>147</v>
      </c>
      <c r="F5" s="61" t="s">
        <v>143</v>
      </c>
      <c r="H5" s="60" t="s">
        <v>148</v>
      </c>
      <c r="I5" s="62" t="s">
        <v>139</v>
      </c>
    </row>
    <row r="6" spans="1:16" x14ac:dyDescent="0.2">
      <c r="A6" s="60" t="s">
        <v>149</v>
      </c>
      <c r="E6" s="60" t="s">
        <v>150</v>
      </c>
      <c r="F6" s="61" t="s">
        <v>137</v>
      </c>
      <c r="H6" s="60" t="s">
        <v>151</v>
      </c>
      <c r="I6" s="61" t="s">
        <v>145</v>
      </c>
    </row>
    <row r="7" spans="1:16" x14ac:dyDescent="0.2">
      <c r="A7" s="60" t="s">
        <v>152</v>
      </c>
    </row>
    <row r="8" spans="1:16" x14ac:dyDescent="0.2">
      <c r="A8" s="60" t="s">
        <v>153</v>
      </c>
      <c r="B8" s="60">
        <v>31</v>
      </c>
    </row>
    <row r="10" spans="1:16" x14ac:dyDescent="0.2">
      <c r="A10" s="60" t="s">
        <v>154</v>
      </c>
      <c r="B10" s="60" t="s">
        <v>155</v>
      </c>
      <c r="C10" s="60" t="s">
        <v>156</v>
      </c>
      <c r="D10" s="60" t="s">
        <v>157</v>
      </c>
      <c r="E10" s="60" t="s">
        <v>158</v>
      </c>
      <c r="F10" s="60" t="s">
        <v>159</v>
      </c>
      <c r="G10" s="60" t="s">
        <v>160</v>
      </c>
      <c r="H10" s="60" t="s">
        <v>161</v>
      </c>
      <c r="I10" s="60" t="s">
        <v>162</v>
      </c>
      <c r="J10" s="60" t="s">
        <v>163</v>
      </c>
      <c r="K10" s="60" t="s">
        <v>164</v>
      </c>
      <c r="L10" s="60" t="s">
        <v>134</v>
      </c>
      <c r="M10" s="60" t="s">
        <v>165</v>
      </c>
      <c r="N10" s="60" t="s">
        <v>166</v>
      </c>
      <c r="O10" s="60" t="s">
        <v>167</v>
      </c>
      <c r="P10" s="60" t="s">
        <v>168</v>
      </c>
    </row>
    <row r="11" spans="1:16" x14ac:dyDescent="0.2">
      <c r="A11" s="60">
        <f>'Precision Tree'!$G$40</f>
        <v>4100000</v>
      </c>
      <c r="B11" s="60" t="str">
        <f>B1</f>
        <v>Firm Value 1</v>
      </c>
      <c r="C11" s="60">
        <v>0</v>
      </c>
      <c r="I11" s="60" t="s">
        <v>169</v>
      </c>
      <c r="J11" s="60">
        <f>'Precision Tree'!$F$40</f>
        <v>0</v>
      </c>
      <c r="K11" s="60">
        <f>'Precision Tree'!$F$39</f>
        <v>0</v>
      </c>
      <c r="L11" s="60" t="s">
        <v>209</v>
      </c>
      <c r="M11" s="61" t="s">
        <v>170</v>
      </c>
      <c r="O11" s="60" t="str">
        <f>'Precision Tree'!$G$39</f>
        <v>Membership Fee Increase</v>
      </c>
      <c r="P11" s="60" t="b">
        <v>0</v>
      </c>
    </row>
    <row r="12" spans="1:16" x14ac:dyDescent="0.2">
      <c r="A12" s="60">
        <f>'Precision Tree'!$H$26</f>
        <v>66320000</v>
      </c>
      <c r="B12" s="61" t="s">
        <v>180</v>
      </c>
      <c r="C12" s="60">
        <v>0</v>
      </c>
      <c r="I12" s="60" t="s">
        <v>169</v>
      </c>
      <c r="J12" s="60">
        <f>'Precision Tree'!$G$26</f>
        <v>0</v>
      </c>
      <c r="L12" s="60" t="s">
        <v>207</v>
      </c>
      <c r="M12" s="61" t="s">
        <v>170</v>
      </c>
      <c r="O12" s="60" t="str">
        <f>'Precision Tree'!$H$25</f>
        <v>Tax Break Probabilities</v>
      </c>
      <c r="P12" s="60" t="b">
        <v>0</v>
      </c>
    </row>
    <row r="13" spans="1:16" x14ac:dyDescent="0.2">
      <c r="A13" s="60">
        <f>'Precision Tree'!$I$22</f>
        <v>66320000</v>
      </c>
      <c r="B13" s="61" t="s">
        <v>177</v>
      </c>
      <c r="C13" s="60">
        <v>0</v>
      </c>
      <c r="I13" s="60" t="s">
        <v>169</v>
      </c>
      <c r="J13" s="60">
        <f>'Precision Tree'!$H$22</f>
        <v>0</v>
      </c>
      <c r="K13" s="60" t="b">
        <f>'Precision Tree'!$H$21</f>
        <v>1</v>
      </c>
      <c r="L13" s="60" t="s">
        <v>188</v>
      </c>
      <c r="M13" s="61" t="s">
        <v>170</v>
      </c>
      <c r="O13" s="60" t="str">
        <f>'Precision Tree'!$I$21</f>
        <v>New Firm Value</v>
      </c>
      <c r="P13" s="60" t="b">
        <v>0</v>
      </c>
    </row>
    <row r="14" spans="1:16" x14ac:dyDescent="0.2">
      <c r="A14" s="60">
        <f>'Precision Tree'!$J$20</f>
        <v>76400000</v>
      </c>
      <c r="B14" s="61" t="s">
        <v>171</v>
      </c>
      <c r="C14" s="60">
        <v>0</v>
      </c>
      <c r="H14" s="60" t="s">
        <v>169</v>
      </c>
      <c r="I14" s="60" t="s">
        <v>169</v>
      </c>
      <c r="J14" s="60">
        <f>'Precision Tree'!$I$20</f>
        <v>76400000</v>
      </c>
      <c r="K14" s="60">
        <f>'Precision Tree'!$I$19</f>
        <v>0.2</v>
      </c>
      <c r="L14" s="60" t="s">
        <v>173</v>
      </c>
      <c r="M14" s="61" t="s">
        <v>170</v>
      </c>
      <c r="P14" s="60" t="b">
        <v>0</v>
      </c>
    </row>
    <row r="15" spans="1:16" x14ac:dyDescent="0.2">
      <c r="A15" s="60">
        <f>'Precision Tree'!$J$24</f>
        <v>63800000</v>
      </c>
      <c r="B15" s="61" t="s">
        <v>172</v>
      </c>
      <c r="C15" s="60">
        <v>0</v>
      </c>
      <c r="H15" s="60" t="s">
        <v>169</v>
      </c>
      <c r="I15" s="60" t="s">
        <v>169</v>
      </c>
      <c r="J15" s="60">
        <f>'Precision Tree'!$I$24</f>
        <v>63800000</v>
      </c>
      <c r="K15" s="60">
        <f>'Precision Tree'!$I$23</f>
        <v>0.8</v>
      </c>
      <c r="L15" s="60" t="s">
        <v>173</v>
      </c>
      <c r="M15" s="61" t="s">
        <v>170</v>
      </c>
      <c r="P15" s="60" t="b">
        <v>0</v>
      </c>
    </row>
    <row r="16" spans="1:16" x14ac:dyDescent="0.2">
      <c r="A16" s="60">
        <f>'Precision Tree'!$I$30</f>
        <v>67580000</v>
      </c>
      <c r="B16" s="61" t="s">
        <v>179</v>
      </c>
      <c r="C16" s="60">
        <v>0</v>
      </c>
      <c r="I16" s="60" t="s">
        <v>169</v>
      </c>
      <c r="J16" s="60">
        <f>'Precision Tree'!$H$30</f>
        <v>0</v>
      </c>
      <c r="K16" s="60" t="b">
        <f>'Precision Tree'!$H$29</f>
        <v>0</v>
      </c>
      <c r="L16" s="60" t="s">
        <v>189</v>
      </c>
      <c r="M16" s="61" t="s">
        <v>170</v>
      </c>
      <c r="O16" s="60" t="str">
        <f>'Precision Tree'!$I$29</f>
        <v>Chance</v>
      </c>
      <c r="P16" s="60" t="b">
        <v>0</v>
      </c>
    </row>
    <row r="17" spans="1:16" x14ac:dyDescent="0.2">
      <c r="A17" s="60">
        <f>'Precision Tree'!$J$28</f>
        <v>76400000</v>
      </c>
      <c r="B17" s="61" t="s">
        <v>171</v>
      </c>
      <c r="C17" s="60">
        <v>0</v>
      </c>
      <c r="H17" s="60" t="s">
        <v>169</v>
      </c>
      <c r="I17" s="60" t="s">
        <v>169</v>
      </c>
      <c r="J17" s="60">
        <f>'Precision Tree'!$I$28</f>
        <v>76400000</v>
      </c>
      <c r="K17" s="60">
        <f>'Precision Tree'!$I$27</f>
        <v>0.3</v>
      </c>
      <c r="L17" s="60" t="s">
        <v>190</v>
      </c>
      <c r="M17" s="61" t="s">
        <v>170</v>
      </c>
      <c r="P17" s="60" t="b">
        <v>0</v>
      </c>
    </row>
    <row r="18" spans="1:16" x14ac:dyDescent="0.2">
      <c r="A18" s="60">
        <f>'Precision Tree'!$J$32</f>
        <v>63800000</v>
      </c>
      <c r="B18" s="61" t="s">
        <v>172</v>
      </c>
      <c r="C18" s="60">
        <v>0</v>
      </c>
      <c r="H18" s="60" t="s">
        <v>169</v>
      </c>
      <c r="I18" s="60" t="s">
        <v>169</v>
      </c>
      <c r="J18" s="60">
        <f>'Precision Tree'!$I$32</f>
        <v>63800000</v>
      </c>
      <c r="K18" s="60">
        <f>'Precision Tree'!$I$31</f>
        <v>0.7</v>
      </c>
      <c r="L18" s="60" t="s">
        <v>190</v>
      </c>
      <c r="M18" s="61" t="s">
        <v>170</v>
      </c>
      <c r="P18" s="60" t="b">
        <v>0</v>
      </c>
    </row>
    <row r="19" spans="1:16" x14ac:dyDescent="0.2">
      <c r="A19" s="60">
        <f>'Precision Tree'!$I$36</f>
        <v>63800000</v>
      </c>
      <c r="B19" s="61" t="s">
        <v>172</v>
      </c>
      <c r="C19" s="60">
        <v>0</v>
      </c>
      <c r="I19" s="60" t="s">
        <v>169</v>
      </c>
      <c r="J19" s="60">
        <f>'Precision Tree'!$H$36</f>
        <v>0</v>
      </c>
      <c r="K19" s="60" t="b">
        <f>'Precision Tree'!$H$35</f>
        <v>0</v>
      </c>
      <c r="L19" s="60" t="s">
        <v>191</v>
      </c>
      <c r="M19" s="61" t="s">
        <v>170</v>
      </c>
      <c r="O19" s="60" t="str">
        <f>'Precision Tree'!$I$35</f>
        <v>Chance</v>
      </c>
      <c r="P19" s="60" t="b">
        <v>0</v>
      </c>
    </row>
    <row r="20" spans="1:16" x14ac:dyDescent="0.2">
      <c r="A20" s="60">
        <f>'Precision Tree'!$J$34</f>
        <v>76400000</v>
      </c>
      <c r="B20" s="61" t="s">
        <v>171</v>
      </c>
      <c r="C20" s="60">
        <v>0</v>
      </c>
      <c r="H20" s="60" t="s">
        <v>169</v>
      </c>
      <c r="I20" s="60" t="s">
        <v>169</v>
      </c>
      <c r="J20" s="60">
        <f>'Precision Tree'!$I$34</f>
        <v>76400000</v>
      </c>
      <c r="K20" s="60">
        <f>'Precision Tree'!$I$33</f>
        <v>0</v>
      </c>
      <c r="L20" s="60" t="s">
        <v>176</v>
      </c>
      <c r="M20" s="61" t="s">
        <v>170</v>
      </c>
      <c r="P20" s="60" t="b">
        <v>0</v>
      </c>
    </row>
    <row r="21" spans="1:16" x14ac:dyDescent="0.2">
      <c r="A21" s="60">
        <f>'Precision Tree'!$J$38</f>
        <v>63800000</v>
      </c>
      <c r="B21" s="61" t="s">
        <v>172</v>
      </c>
      <c r="C21" s="60">
        <v>0</v>
      </c>
      <c r="H21" s="60" t="s">
        <v>169</v>
      </c>
      <c r="I21" s="60" t="s">
        <v>169</v>
      </c>
      <c r="J21" s="60">
        <f>'Precision Tree'!$I$38</f>
        <v>63800000</v>
      </c>
      <c r="K21" s="60">
        <f>'Precision Tree'!$I$37</f>
        <v>1</v>
      </c>
      <c r="L21" s="60" t="s">
        <v>176</v>
      </c>
      <c r="M21" s="61" t="s">
        <v>170</v>
      </c>
      <c r="P21" s="60" t="b">
        <v>0</v>
      </c>
    </row>
    <row r="22" spans="1:16" x14ac:dyDescent="0.2">
      <c r="A22" s="60">
        <f>'Precision Tree'!$H$48</f>
        <v>56640000</v>
      </c>
      <c r="B22" s="61" t="s">
        <v>181</v>
      </c>
      <c r="C22" s="60">
        <v>0</v>
      </c>
      <c r="I22" s="60" t="s">
        <v>169</v>
      </c>
      <c r="J22" s="60">
        <f>'Precision Tree'!$G$48</f>
        <v>0</v>
      </c>
      <c r="L22" s="60" t="s">
        <v>192</v>
      </c>
      <c r="M22" s="61" t="s">
        <v>170</v>
      </c>
      <c r="O22" s="60" t="str">
        <f>'Precision Tree'!$H$47</f>
        <v>Tax Break Probabilities</v>
      </c>
      <c r="P22" s="60" t="b">
        <v>0</v>
      </c>
    </row>
    <row r="23" spans="1:16" x14ac:dyDescent="0.2">
      <c r="A23" s="60">
        <f>'Precision Tree'!$I$44</f>
        <v>56640000</v>
      </c>
      <c r="B23" s="61" t="s">
        <v>177</v>
      </c>
      <c r="C23" s="60">
        <v>0</v>
      </c>
      <c r="I23" s="60" t="s">
        <v>169</v>
      </c>
      <c r="J23" s="60">
        <f>'Precision Tree'!$H$44</f>
        <v>0</v>
      </c>
      <c r="K23" s="60" t="b">
        <f>'Precision Tree'!$H$43</f>
        <v>1</v>
      </c>
      <c r="L23" s="60" t="s">
        <v>193</v>
      </c>
      <c r="M23" s="61" t="s">
        <v>170</v>
      </c>
      <c r="O23" s="60" t="str">
        <f>'Precision Tree'!$I$43</f>
        <v>Chance</v>
      </c>
      <c r="P23" s="60" t="b">
        <v>0</v>
      </c>
    </row>
    <row r="24" spans="1:16" x14ac:dyDescent="0.2">
      <c r="A24" s="60">
        <f>'Precision Tree'!$J$42</f>
        <v>65200000</v>
      </c>
      <c r="B24" s="61" t="s">
        <v>171</v>
      </c>
      <c r="C24" s="60">
        <v>0</v>
      </c>
      <c r="H24" s="60" t="s">
        <v>169</v>
      </c>
      <c r="I24" s="60" t="s">
        <v>169</v>
      </c>
      <c r="J24" s="60">
        <f>'Precision Tree'!$I$42</f>
        <v>65200000</v>
      </c>
      <c r="K24" s="60">
        <f>'Precision Tree'!$I$41</f>
        <v>0.2</v>
      </c>
      <c r="L24" s="60" t="s">
        <v>194</v>
      </c>
      <c r="M24" s="61" t="s">
        <v>170</v>
      </c>
      <c r="P24" s="60" t="b">
        <v>0</v>
      </c>
    </row>
    <row r="25" spans="1:16" x14ac:dyDescent="0.2">
      <c r="A25" s="60">
        <f>'Precision Tree'!$J$46</f>
        <v>54500000</v>
      </c>
      <c r="B25" s="61" t="s">
        <v>172</v>
      </c>
      <c r="C25" s="60">
        <v>0</v>
      </c>
      <c r="H25" s="60" t="s">
        <v>169</v>
      </c>
      <c r="I25" s="60" t="s">
        <v>169</v>
      </c>
      <c r="J25" s="60">
        <f>'Precision Tree'!$I$46</f>
        <v>54500000</v>
      </c>
      <c r="K25" s="60">
        <f>'Precision Tree'!$I$45</f>
        <v>0.8</v>
      </c>
      <c r="L25" s="60" t="s">
        <v>194</v>
      </c>
      <c r="M25" s="61" t="s">
        <v>170</v>
      </c>
      <c r="P25" s="60" t="b">
        <v>0</v>
      </c>
    </row>
    <row r="26" spans="1:16" x14ac:dyDescent="0.2">
      <c r="A26" s="60">
        <f>'Precision Tree'!$I$52</f>
        <v>57710000</v>
      </c>
      <c r="B26" s="61" t="s">
        <v>179</v>
      </c>
      <c r="C26" s="60">
        <v>0</v>
      </c>
      <c r="I26" s="60" t="s">
        <v>169</v>
      </c>
      <c r="J26" s="60">
        <f>'Precision Tree'!$H$52</f>
        <v>0</v>
      </c>
      <c r="K26" s="60" t="b">
        <f>'Precision Tree'!$H$51</f>
        <v>0</v>
      </c>
      <c r="L26" s="60" t="s">
        <v>195</v>
      </c>
      <c r="M26" s="61" t="s">
        <v>170</v>
      </c>
      <c r="O26" s="60" t="str">
        <f>'Precision Tree'!$I$51</f>
        <v>Chance</v>
      </c>
      <c r="P26" s="60" t="b">
        <v>0</v>
      </c>
    </row>
    <row r="27" spans="1:16" x14ac:dyDescent="0.2">
      <c r="A27" s="60">
        <f>'Precision Tree'!$J$50</f>
        <v>65200000</v>
      </c>
      <c r="B27" s="61" t="s">
        <v>171</v>
      </c>
      <c r="C27" s="60">
        <v>0</v>
      </c>
      <c r="H27" s="60" t="s">
        <v>169</v>
      </c>
      <c r="I27" s="60" t="s">
        <v>169</v>
      </c>
      <c r="J27" s="60">
        <f>'Precision Tree'!$I$50</f>
        <v>65200000</v>
      </c>
      <c r="K27" s="60">
        <f>'Precision Tree'!$I$49</f>
        <v>0.3</v>
      </c>
      <c r="L27" s="60" t="s">
        <v>182</v>
      </c>
      <c r="M27" s="61" t="s">
        <v>170</v>
      </c>
      <c r="P27" s="60" t="b">
        <v>0</v>
      </c>
    </row>
    <row r="28" spans="1:16" x14ac:dyDescent="0.2">
      <c r="A28" s="60">
        <f>'Precision Tree'!$J$54</f>
        <v>54500000</v>
      </c>
      <c r="B28" s="61" t="s">
        <v>172</v>
      </c>
      <c r="C28" s="60">
        <v>0</v>
      </c>
      <c r="H28" s="60" t="s">
        <v>169</v>
      </c>
      <c r="I28" s="60" t="s">
        <v>169</v>
      </c>
      <c r="J28" s="60">
        <f>'Precision Tree'!$I$54</f>
        <v>54500000</v>
      </c>
      <c r="K28" s="60">
        <f>'Precision Tree'!$I$53</f>
        <v>0.7</v>
      </c>
      <c r="L28" s="60" t="s">
        <v>182</v>
      </c>
      <c r="M28" s="61" t="s">
        <v>170</v>
      </c>
      <c r="P28" s="60" t="b">
        <v>0</v>
      </c>
    </row>
    <row r="29" spans="1:16" x14ac:dyDescent="0.2">
      <c r="A29" s="60">
        <f>'Precision Tree'!$I$58</f>
        <v>54500000</v>
      </c>
      <c r="B29" s="61" t="s">
        <v>172</v>
      </c>
      <c r="C29" s="60">
        <v>0</v>
      </c>
      <c r="I29" s="60" t="s">
        <v>169</v>
      </c>
      <c r="J29" s="60">
        <f>'Precision Tree'!$H$58</f>
        <v>0</v>
      </c>
      <c r="K29" s="60" t="b">
        <f>'Precision Tree'!$H$57</f>
        <v>0</v>
      </c>
      <c r="L29" s="60" t="s">
        <v>196</v>
      </c>
      <c r="M29" s="61" t="s">
        <v>170</v>
      </c>
      <c r="O29" s="60" t="str">
        <f>'Precision Tree'!$I$57</f>
        <v>Chance</v>
      </c>
      <c r="P29" s="60" t="b">
        <v>0</v>
      </c>
    </row>
    <row r="30" spans="1:16" x14ac:dyDescent="0.2">
      <c r="A30" s="60">
        <f>'Precision Tree'!$J$56</f>
        <v>65200000</v>
      </c>
      <c r="B30" s="61" t="s">
        <v>171</v>
      </c>
      <c r="C30" s="60">
        <v>0</v>
      </c>
      <c r="H30" s="60" t="s">
        <v>169</v>
      </c>
      <c r="I30" s="60" t="s">
        <v>169</v>
      </c>
      <c r="J30" s="60">
        <f>'Precision Tree'!$I$56</f>
        <v>65200000</v>
      </c>
      <c r="K30" s="60">
        <f>'Precision Tree'!$I$55</f>
        <v>0</v>
      </c>
      <c r="L30" s="60" t="s">
        <v>197</v>
      </c>
      <c r="M30" s="61" t="s">
        <v>170</v>
      </c>
      <c r="P30" s="60" t="b">
        <v>0</v>
      </c>
    </row>
    <row r="31" spans="1:16" x14ac:dyDescent="0.2">
      <c r="A31" s="60">
        <f>'Precision Tree'!$J$60</f>
        <v>54500000</v>
      </c>
      <c r="B31" s="61" t="s">
        <v>172</v>
      </c>
      <c r="C31" s="60">
        <v>0</v>
      </c>
      <c r="H31" s="60" t="s">
        <v>169</v>
      </c>
      <c r="I31" s="60" t="s">
        <v>169</v>
      </c>
      <c r="J31" s="60">
        <f>'Precision Tree'!$I$60</f>
        <v>54500000</v>
      </c>
      <c r="K31" s="60">
        <f>'Precision Tree'!$I$59</f>
        <v>1</v>
      </c>
      <c r="L31" s="60" t="s">
        <v>197</v>
      </c>
      <c r="M31" s="61" t="s">
        <v>170</v>
      </c>
      <c r="P31" s="60" t="b">
        <v>0</v>
      </c>
    </row>
    <row r="32" spans="1:16" x14ac:dyDescent="0.2">
      <c r="A32" s="60">
        <f>'Precision Tree'!$H$68</f>
        <v>4100000</v>
      </c>
      <c r="B32" s="61" t="s">
        <v>187</v>
      </c>
      <c r="C32" s="60">
        <v>0</v>
      </c>
      <c r="I32" s="60" t="s">
        <v>169</v>
      </c>
      <c r="J32" s="60">
        <f>'Precision Tree'!$G$68</f>
        <v>0</v>
      </c>
      <c r="L32" s="60" t="s">
        <v>210</v>
      </c>
      <c r="M32" s="61" t="s">
        <v>170</v>
      </c>
      <c r="O32" s="60" t="str">
        <f>'Precision Tree'!$H$67</f>
        <v>Tax Break Probabilities</v>
      </c>
      <c r="P32" s="60" t="b">
        <v>0</v>
      </c>
    </row>
    <row r="33" spans="1:16" x14ac:dyDescent="0.2">
      <c r="A33" s="60">
        <f>'Precision Tree'!$I$64</f>
        <v>5800000</v>
      </c>
      <c r="B33" s="61" t="s">
        <v>177</v>
      </c>
      <c r="C33" s="60">
        <v>0</v>
      </c>
      <c r="I33" s="60" t="s">
        <v>169</v>
      </c>
      <c r="J33" s="60">
        <f>'Precision Tree'!$H$64</f>
        <v>0</v>
      </c>
      <c r="K33" s="60" t="b">
        <f>'Precision Tree'!$H$63</f>
        <v>0</v>
      </c>
      <c r="L33" s="60" t="s">
        <v>198</v>
      </c>
      <c r="M33" s="61" t="s">
        <v>170</v>
      </c>
      <c r="O33" s="60" t="str">
        <f>'Precision Tree'!$I$63</f>
        <v>Chance</v>
      </c>
      <c r="P33" s="60" t="b">
        <v>0</v>
      </c>
    </row>
    <row r="34" spans="1:16" x14ac:dyDescent="0.2">
      <c r="A34" s="60">
        <f>'Precision Tree'!$J$62</f>
        <v>12600000</v>
      </c>
      <c r="B34" s="61" t="s">
        <v>171</v>
      </c>
      <c r="C34" s="60">
        <v>0</v>
      </c>
      <c r="H34" s="60" t="s">
        <v>169</v>
      </c>
      <c r="I34" s="60" t="s">
        <v>169</v>
      </c>
      <c r="J34" s="60">
        <f>'Precision Tree'!$I$62</f>
        <v>12600000</v>
      </c>
      <c r="K34" s="60">
        <f>'Precision Tree'!$I$61</f>
        <v>0.2</v>
      </c>
      <c r="L34" s="60" t="s">
        <v>199</v>
      </c>
      <c r="M34" s="61" t="s">
        <v>170</v>
      </c>
      <c r="P34" s="60" t="b">
        <v>0</v>
      </c>
    </row>
    <row r="35" spans="1:16" x14ac:dyDescent="0.2">
      <c r="A35" s="60">
        <f>'Precision Tree'!$J$66</f>
        <v>4100000</v>
      </c>
      <c r="B35" s="61" t="s">
        <v>172</v>
      </c>
      <c r="C35" s="60">
        <v>0</v>
      </c>
      <c r="H35" s="60" t="s">
        <v>169</v>
      </c>
      <c r="I35" s="60" t="s">
        <v>169</v>
      </c>
      <c r="J35" s="60">
        <f>'Precision Tree'!$I$66</f>
        <v>4100000</v>
      </c>
      <c r="K35" s="60">
        <f>'Precision Tree'!$I$65</f>
        <v>0.8</v>
      </c>
      <c r="L35" s="60" t="s">
        <v>199</v>
      </c>
      <c r="M35" s="61" t="s">
        <v>170</v>
      </c>
      <c r="P35" s="60" t="b">
        <v>0</v>
      </c>
    </row>
    <row r="36" spans="1:16" x14ac:dyDescent="0.2">
      <c r="A36" s="60">
        <f>'Precision Tree'!$I$78</f>
        <v>4100000</v>
      </c>
      <c r="B36" s="61" t="s">
        <v>172</v>
      </c>
      <c r="C36" s="60">
        <v>0</v>
      </c>
      <c r="I36" s="60" t="s">
        <v>169</v>
      </c>
      <c r="J36" s="60">
        <f>'Precision Tree'!$H$78</f>
        <v>0</v>
      </c>
      <c r="K36" s="60" t="b">
        <f>'Precision Tree'!$H$77</f>
        <v>1</v>
      </c>
      <c r="L36" s="60" t="s">
        <v>211</v>
      </c>
      <c r="M36" s="61" t="s">
        <v>170</v>
      </c>
      <c r="O36" s="60" t="str">
        <f>'Precision Tree'!$I$77</f>
        <v>Chance</v>
      </c>
      <c r="P36" s="60" t="b">
        <v>0</v>
      </c>
    </row>
    <row r="37" spans="1:16" x14ac:dyDescent="0.2">
      <c r="A37" s="60">
        <f>'Precision Tree'!$J$76</f>
        <v>12600000</v>
      </c>
      <c r="B37" s="61" t="s">
        <v>171</v>
      </c>
      <c r="C37" s="60">
        <v>0</v>
      </c>
      <c r="H37" s="60" t="s">
        <v>169</v>
      </c>
      <c r="I37" s="60" t="s">
        <v>169</v>
      </c>
      <c r="J37" s="60">
        <f>'Precision Tree'!$I$76</f>
        <v>12600000</v>
      </c>
      <c r="K37" s="60">
        <f>'Precision Tree'!$I$75</f>
        <v>0</v>
      </c>
      <c r="L37" s="60" t="s">
        <v>200</v>
      </c>
      <c r="M37" s="61" t="s">
        <v>170</v>
      </c>
      <c r="P37" s="60" t="b">
        <v>0</v>
      </c>
    </row>
    <row r="38" spans="1:16" x14ac:dyDescent="0.2">
      <c r="A38" s="60">
        <f>'Precision Tree'!$J$80</f>
        <v>4100000</v>
      </c>
      <c r="B38" s="61" t="s">
        <v>172</v>
      </c>
      <c r="C38" s="60">
        <v>0</v>
      </c>
      <c r="H38" s="60" t="s">
        <v>169</v>
      </c>
      <c r="I38" s="60" t="s">
        <v>169</v>
      </c>
      <c r="J38" s="60">
        <f>'Precision Tree'!$I$80</f>
        <v>4100000</v>
      </c>
      <c r="K38" s="60">
        <f>'Precision Tree'!$I$79</f>
        <v>1</v>
      </c>
      <c r="L38" s="60" t="s">
        <v>200</v>
      </c>
      <c r="M38" s="61" t="s">
        <v>170</v>
      </c>
      <c r="P38" s="60" t="b">
        <v>0</v>
      </c>
    </row>
    <row r="39" spans="1:16" x14ac:dyDescent="0.2">
      <c r="A39" s="60">
        <f>'Precision Tree'!$I$72</f>
        <v>6650000</v>
      </c>
      <c r="B39" s="61" t="s">
        <v>208</v>
      </c>
      <c r="C39" s="60">
        <v>0</v>
      </c>
      <c r="I39" s="60" t="s">
        <v>169</v>
      </c>
      <c r="J39" s="60">
        <f>'Precision Tree'!$H$72</f>
        <v>0</v>
      </c>
      <c r="K39" s="60" t="b">
        <f>'Precision Tree'!$H$71</f>
        <v>0</v>
      </c>
      <c r="L39" s="60" t="s">
        <v>201</v>
      </c>
      <c r="M39" s="61" t="s">
        <v>170</v>
      </c>
      <c r="O39" s="60" t="str">
        <f>'Precision Tree'!$I$71</f>
        <v>Chance</v>
      </c>
      <c r="P39" s="60" t="b">
        <v>0</v>
      </c>
    </row>
    <row r="40" spans="1:16" x14ac:dyDescent="0.2">
      <c r="A40" s="60">
        <f>'Precision Tree'!$J$70</f>
        <v>12600000</v>
      </c>
      <c r="B40" s="61" t="s">
        <v>171</v>
      </c>
      <c r="C40" s="60">
        <v>0</v>
      </c>
      <c r="H40" s="60" t="s">
        <v>169</v>
      </c>
      <c r="I40" s="60" t="s">
        <v>169</v>
      </c>
      <c r="J40" s="60">
        <f>'Precision Tree'!$I$70</f>
        <v>12600000</v>
      </c>
      <c r="K40" s="60">
        <f>'Precision Tree'!$I$69</f>
        <v>0.3</v>
      </c>
      <c r="L40" s="60" t="s">
        <v>202</v>
      </c>
      <c r="M40" s="61" t="s">
        <v>170</v>
      </c>
      <c r="P40" s="60" t="b">
        <v>0</v>
      </c>
    </row>
    <row r="41" spans="1:16" x14ac:dyDescent="0.2">
      <c r="A41" s="60">
        <f>'Precision Tree'!$J$74</f>
        <v>4100000</v>
      </c>
      <c r="B41" s="61" t="s">
        <v>172</v>
      </c>
      <c r="C41" s="60">
        <v>0</v>
      </c>
      <c r="H41" s="60" t="s">
        <v>169</v>
      </c>
      <c r="I41" s="60" t="s">
        <v>169</v>
      </c>
      <c r="J41" s="60">
        <f>'Precision Tree'!$I$74</f>
        <v>4100000</v>
      </c>
      <c r="K41" s="60">
        <f>'Precision Tree'!$I$73</f>
        <v>0.7</v>
      </c>
      <c r="L41" s="60" t="s">
        <v>202</v>
      </c>
      <c r="M41" s="61" t="s">
        <v>170</v>
      </c>
      <c r="P41" s="60" t="b">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pageSetUpPr fitToPage="1"/>
  </sheetPr>
  <dimension ref="A1:M48"/>
  <sheetViews>
    <sheetView zoomScaleNormal="100" workbookViewId="0"/>
  </sheetViews>
  <sheetFormatPr defaultRowHeight="15" x14ac:dyDescent="0.25"/>
  <cols>
    <col min="1" max="1" width="23.140625" style="44" bestFit="1" customWidth="1"/>
    <col min="2" max="2" width="14.140625" style="44" bestFit="1" customWidth="1"/>
    <col min="3" max="3" width="14.140625" style="44" customWidth="1"/>
    <col min="4" max="4" width="20.85546875" style="44" bestFit="1" customWidth="1"/>
    <col min="5" max="5" width="24" style="44" bestFit="1" customWidth="1"/>
    <col min="6" max="6" width="19.42578125" style="44" bestFit="1" customWidth="1"/>
    <col min="7" max="7" width="37.42578125" style="44" customWidth="1"/>
    <col min="8" max="8" width="35.140625" style="44" customWidth="1"/>
    <col min="9" max="9" width="31.5703125" style="44" customWidth="1"/>
    <col min="10" max="11" width="28" style="44" customWidth="1"/>
    <col min="12" max="16384" width="9.140625" style="44"/>
  </cols>
  <sheetData>
    <row r="1" spans="1:13" x14ac:dyDescent="0.25">
      <c r="A1" s="80" t="s">
        <v>217</v>
      </c>
      <c r="B1" s="81" t="s">
        <v>218</v>
      </c>
      <c r="C1" s="82" t="s">
        <v>186</v>
      </c>
      <c r="D1" s="81" t="s">
        <v>219</v>
      </c>
      <c r="E1" s="81" t="s">
        <v>220</v>
      </c>
      <c r="F1" s="83" t="s">
        <v>185</v>
      </c>
    </row>
    <row r="2" spans="1:13" x14ac:dyDescent="0.25">
      <c r="A2" s="84">
        <v>95</v>
      </c>
      <c r="B2" s="85">
        <v>0</v>
      </c>
      <c r="C2" s="85">
        <f>1-B2</f>
        <v>1</v>
      </c>
      <c r="D2" s="86">
        <v>12600000</v>
      </c>
      <c r="E2" s="86">
        <v>4100000</v>
      </c>
      <c r="F2" s="87">
        <f>(B2*D2)+(C2*E2)</f>
        <v>4100000</v>
      </c>
      <c r="H2" s="63"/>
    </row>
    <row r="3" spans="1:13" x14ac:dyDescent="0.25">
      <c r="A3" s="84">
        <f>A2</f>
        <v>95</v>
      </c>
      <c r="B3" s="85">
        <v>0.2</v>
      </c>
      <c r="C3" s="85">
        <f t="shared" ref="C3:C10" si="0">1-B3</f>
        <v>0.8</v>
      </c>
      <c r="D3" s="86">
        <f>D2</f>
        <v>12600000</v>
      </c>
      <c r="E3" s="86">
        <f>E2</f>
        <v>4100000</v>
      </c>
      <c r="F3" s="87">
        <f t="shared" ref="F3:F10" si="1">(B3*D3)+(C3*E3)</f>
        <v>5800000</v>
      </c>
    </row>
    <row r="4" spans="1:13" x14ac:dyDescent="0.25">
      <c r="A4" s="84">
        <f>A3</f>
        <v>95</v>
      </c>
      <c r="B4" s="85">
        <v>0.3</v>
      </c>
      <c r="C4" s="85">
        <f t="shared" si="0"/>
        <v>0.7</v>
      </c>
      <c r="D4" s="86">
        <f>D3</f>
        <v>12600000</v>
      </c>
      <c r="E4" s="86">
        <f>E3</f>
        <v>4100000</v>
      </c>
      <c r="F4" s="87">
        <f t="shared" si="1"/>
        <v>6650000</v>
      </c>
    </row>
    <row r="5" spans="1:13" x14ac:dyDescent="0.25">
      <c r="A5" s="84">
        <v>165</v>
      </c>
      <c r="B5" s="85">
        <v>0</v>
      </c>
      <c r="C5" s="85">
        <f>1-B5</f>
        <v>1</v>
      </c>
      <c r="D5" s="86">
        <v>76400000</v>
      </c>
      <c r="E5" s="86">
        <v>63800000</v>
      </c>
      <c r="F5" s="87">
        <f t="shared" si="1"/>
        <v>63800000</v>
      </c>
    </row>
    <row r="6" spans="1:13" x14ac:dyDescent="0.25">
      <c r="A6" s="84">
        <f>A5</f>
        <v>165</v>
      </c>
      <c r="B6" s="85">
        <v>0.2</v>
      </c>
      <c r="C6" s="85">
        <f t="shared" si="0"/>
        <v>0.8</v>
      </c>
      <c r="D6" s="86">
        <f>D5</f>
        <v>76400000</v>
      </c>
      <c r="E6" s="86">
        <f>E5</f>
        <v>63800000</v>
      </c>
      <c r="F6" s="87">
        <f t="shared" si="1"/>
        <v>66320000</v>
      </c>
    </row>
    <row r="7" spans="1:13" x14ac:dyDescent="0.25">
      <c r="A7" s="88">
        <f>A6</f>
        <v>165</v>
      </c>
      <c r="B7" s="89">
        <v>0.3</v>
      </c>
      <c r="C7" s="89">
        <f t="shared" si="0"/>
        <v>0.7</v>
      </c>
      <c r="D7" s="90">
        <f>D6</f>
        <v>76400000</v>
      </c>
      <c r="E7" s="90">
        <f>E6</f>
        <v>63800000</v>
      </c>
      <c r="F7" s="91">
        <f t="shared" si="1"/>
        <v>67580000</v>
      </c>
    </row>
    <row r="8" spans="1:13" x14ac:dyDescent="0.25">
      <c r="A8" s="84">
        <v>235</v>
      </c>
      <c r="B8" s="85">
        <v>0</v>
      </c>
      <c r="C8" s="85">
        <f>1-B8</f>
        <v>1</v>
      </c>
      <c r="D8" s="86">
        <v>65200000</v>
      </c>
      <c r="E8" s="86">
        <v>54500000</v>
      </c>
      <c r="F8" s="87">
        <f t="shared" si="1"/>
        <v>54500000</v>
      </c>
    </row>
    <row r="9" spans="1:13" x14ac:dyDescent="0.25">
      <c r="A9" s="84">
        <f>A8</f>
        <v>235</v>
      </c>
      <c r="B9" s="85">
        <v>0.2</v>
      </c>
      <c r="C9" s="85">
        <f t="shared" si="0"/>
        <v>0.8</v>
      </c>
      <c r="D9" s="86">
        <f>D8</f>
        <v>65200000</v>
      </c>
      <c r="E9" s="86">
        <f>E8</f>
        <v>54500000</v>
      </c>
      <c r="F9" s="87">
        <f t="shared" si="1"/>
        <v>56640000</v>
      </c>
    </row>
    <row r="10" spans="1:13" ht="15.75" thickBot="1" x14ac:dyDescent="0.3">
      <c r="A10" s="92">
        <f>A9</f>
        <v>235</v>
      </c>
      <c r="B10" s="93">
        <v>0.3</v>
      </c>
      <c r="C10" s="93">
        <f t="shared" si="0"/>
        <v>0.7</v>
      </c>
      <c r="D10" s="94">
        <f>D9</f>
        <v>65200000</v>
      </c>
      <c r="E10" s="94">
        <f>E9</f>
        <v>54500000</v>
      </c>
      <c r="F10" s="95">
        <f t="shared" si="1"/>
        <v>57710000</v>
      </c>
    </row>
    <row r="11" spans="1:13" x14ac:dyDescent="0.25">
      <c r="F11" s="64">
        <f>SUM(F2:F10)</f>
        <v>383100000</v>
      </c>
    </row>
    <row r="12" spans="1:13" x14ac:dyDescent="0.25">
      <c r="E12" s="79" t="s">
        <v>221</v>
      </c>
    </row>
    <row r="13" spans="1:13" x14ac:dyDescent="0.25">
      <c r="F13" s="46"/>
    </row>
    <row r="16" spans="1:13" x14ac:dyDescent="0.25">
      <c r="L16" s="44" t="s">
        <v>203</v>
      </c>
      <c r="M16" s="55"/>
    </row>
    <row r="17" spans="6:13" x14ac:dyDescent="0.25">
      <c r="M17" s="55"/>
    </row>
    <row r="19" spans="6:13" customFormat="1" ht="15" customHeight="1" x14ac:dyDescent="0.2">
      <c r="G19" s="54" t="b">
        <f>_xll.PTreeNodeDecision(treeCalc_2!$F$2,2)</f>
        <v>1</v>
      </c>
      <c r="H19" s="56" t="s">
        <v>178</v>
      </c>
      <c r="I19" s="43"/>
      <c r="J19" s="45"/>
    </row>
    <row r="20" spans="6:13" customFormat="1" ht="15" customHeight="1" x14ac:dyDescent="0.2">
      <c r="G20" s="77"/>
      <c r="H20" s="74">
        <f>_xll.PTreeNodeValue(treeCalc_2!$F$2,2)</f>
        <v>67580000</v>
      </c>
      <c r="I20" s="43"/>
      <c r="J20" s="45"/>
    </row>
    <row r="21" spans="6:13" customFormat="1" ht="15" customHeight="1" x14ac:dyDescent="0.2">
      <c r="I21" s="47">
        <f>$B$7</f>
        <v>0.3</v>
      </c>
      <c r="J21" s="48">
        <f>_xll.PTreeNodeProbability(treeCalc_2!$F$2,7)</f>
        <v>0.3</v>
      </c>
    </row>
    <row r="22" spans="6:13" customFormat="1" ht="15" customHeight="1" x14ac:dyDescent="0.2">
      <c r="I22" s="78">
        <f>$D$7</f>
        <v>76400000</v>
      </c>
      <c r="J22" s="76">
        <f>_xll.PTreeNodeValue(treeCalc_2!$F$2,7)</f>
        <v>76400000</v>
      </c>
    </row>
    <row r="23" spans="6:13" customFormat="1" ht="15" customHeight="1" x14ac:dyDescent="0.25">
      <c r="H23" s="59" t="b">
        <v>1</v>
      </c>
      <c r="I23" s="49" t="s">
        <v>185</v>
      </c>
      <c r="J23" s="44"/>
    </row>
    <row r="24" spans="6:13" customFormat="1" ht="15" customHeight="1" x14ac:dyDescent="0.25">
      <c r="H24" s="77">
        <v>0</v>
      </c>
      <c r="I24" s="75">
        <f>_xll.PTreeNodeValue(treeCalc_2!$F$2,6)</f>
        <v>67580000</v>
      </c>
      <c r="J24" s="44"/>
    </row>
    <row r="25" spans="6:13" customFormat="1" ht="15" customHeight="1" x14ac:dyDescent="0.2">
      <c r="F25" s="71"/>
      <c r="I25" s="47">
        <f>$C$7</f>
        <v>0.7</v>
      </c>
      <c r="J25" s="48">
        <f>_xll.PTreeNodeProbability(treeCalc_2!$F$2,8)</f>
        <v>0.7</v>
      </c>
    </row>
    <row r="26" spans="6:13" customFormat="1" ht="15" customHeight="1" x14ac:dyDescent="0.2">
      <c r="I26" s="78">
        <f>$E$7</f>
        <v>63800000</v>
      </c>
      <c r="J26" s="76">
        <f>_xll.PTreeNodeValue(treeCalc_2!$F$2,8)</f>
        <v>63800000</v>
      </c>
    </row>
    <row r="27" spans="6:13" customFormat="1" ht="15" customHeight="1" x14ac:dyDescent="0.2">
      <c r="I27" s="47">
        <f>$B$5</f>
        <v>0</v>
      </c>
      <c r="J27" s="48">
        <f>_xll.PTreeNodeProbability(treeCalc_2!$F$2,10)</f>
        <v>0</v>
      </c>
    </row>
    <row r="28" spans="6:13" customFormat="1" ht="15" customHeight="1" x14ac:dyDescent="0.2">
      <c r="I28" s="78">
        <f>$D$5</f>
        <v>76400000</v>
      </c>
      <c r="J28" s="76">
        <f>_xll.PTreeNodeValue(treeCalc_2!$F$2,10)</f>
        <v>76400000</v>
      </c>
    </row>
    <row r="29" spans="6:13" customFormat="1" ht="15" customHeight="1" x14ac:dyDescent="0.25">
      <c r="H29" s="53" t="b">
        <v>0</v>
      </c>
      <c r="I29" s="49" t="s">
        <v>185</v>
      </c>
      <c r="J29" s="44"/>
    </row>
    <row r="30" spans="6:13" customFormat="1" ht="15" customHeight="1" x14ac:dyDescent="0.25">
      <c r="H30" s="77">
        <v>0</v>
      </c>
      <c r="I30" s="75">
        <f>_xll.PTreeNodeValue(treeCalc_2!$F$2,9)</f>
        <v>63800000</v>
      </c>
      <c r="J30" s="44"/>
    </row>
    <row r="31" spans="6:13" customFormat="1" ht="15" customHeight="1" x14ac:dyDescent="0.2">
      <c r="I31" s="47">
        <f>$C$5</f>
        <v>1</v>
      </c>
      <c r="J31" s="48">
        <f>_xll.PTreeNodeProbability(treeCalc_2!$F$2,11)</f>
        <v>0</v>
      </c>
    </row>
    <row r="32" spans="6:13" customFormat="1" ht="15" customHeight="1" x14ac:dyDescent="0.2">
      <c r="I32" s="78">
        <f>$E$5</f>
        <v>63800000</v>
      </c>
      <c r="J32" s="76">
        <f>_xll.PTreeNodeValue(treeCalc_2!$F$2,11)</f>
        <v>63800000</v>
      </c>
    </row>
    <row r="33" spans="6:10" customFormat="1" ht="15" customHeight="1" x14ac:dyDescent="0.25">
      <c r="F33" s="53"/>
      <c r="G33" s="51" t="s">
        <v>175</v>
      </c>
      <c r="H33" s="44"/>
      <c r="I33" s="44"/>
      <c r="J33" s="44"/>
    </row>
    <row r="34" spans="6:10" customFormat="1" ht="15" customHeight="1" x14ac:dyDescent="0.25">
      <c r="F34" s="77"/>
      <c r="G34" s="73">
        <f>_xll.PTreeNodeValue(treeCalc_2!$F$2,1)</f>
        <v>67580000</v>
      </c>
      <c r="H34" s="44"/>
      <c r="I34" s="44"/>
      <c r="J34" s="44"/>
    </row>
    <row r="35" spans="6:10" customFormat="1" ht="15" customHeight="1" x14ac:dyDescent="0.2">
      <c r="G35" s="54" t="b">
        <f>_xll.PTreeNodeDecision(treeCalc_2!$F$2,22)</f>
        <v>0</v>
      </c>
      <c r="H35" s="56" t="s">
        <v>178</v>
      </c>
      <c r="I35" s="43"/>
      <c r="J35" s="45"/>
    </row>
    <row r="36" spans="6:10" customFormat="1" ht="15" customHeight="1" x14ac:dyDescent="0.2">
      <c r="G36" s="77"/>
      <c r="H36" s="74">
        <f>_xll.PTreeNodeValue(treeCalc_2!$F$2,22)</f>
        <v>4100000</v>
      </c>
      <c r="I36" s="43"/>
      <c r="J36" s="45"/>
    </row>
    <row r="37" spans="6:10" customFormat="1" ht="15" customHeight="1" x14ac:dyDescent="0.2">
      <c r="I37" s="47">
        <f>$B$2</f>
        <v>0</v>
      </c>
      <c r="J37" s="48">
        <f>_xll.PTreeNodeProbability(treeCalc_2!$F$2,27)</f>
        <v>0</v>
      </c>
    </row>
    <row r="38" spans="6:10" customFormat="1" ht="15" customHeight="1" x14ac:dyDescent="0.2">
      <c r="I38" s="78">
        <f>$D$2</f>
        <v>12600000</v>
      </c>
      <c r="J38" s="76">
        <f>_xll.PTreeNodeValue(treeCalc_2!$F$2,27)</f>
        <v>12600000</v>
      </c>
    </row>
    <row r="39" spans="6:10" customFormat="1" ht="15" customHeight="1" x14ac:dyDescent="0.25">
      <c r="H39" s="59" t="b">
        <v>1</v>
      </c>
      <c r="I39" s="49" t="s">
        <v>185</v>
      </c>
      <c r="J39" s="44"/>
    </row>
    <row r="40" spans="6:10" customFormat="1" ht="15" customHeight="1" x14ac:dyDescent="0.25">
      <c r="H40" s="77"/>
      <c r="I40" s="75">
        <f>_xll.PTreeNodeValue(treeCalc_2!$F$2,26)</f>
        <v>4100000</v>
      </c>
      <c r="J40" s="44"/>
    </row>
    <row r="41" spans="6:10" customFormat="1" ht="15" customHeight="1" x14ac:dyDescent="0.2">
      <c r="I41" s="47">
        <f>$C$2</f>
        <v>1</v>
      </c>
      <c r="J41" s="48">
        <f>_xll.PTreeNodeProbability(treeCalc_2!$F$2,28)</f>
        <v>0</v>
      </c>
    </row>
    <row r="42" spans="6:10" customFormat="1" ht="15" customHeight="1" x14ac:dyDescent="0.2">
      <c r="I42" s="78">
        <f>$E$2</f>
        <v>4100000</v>
      </c>
      <c r="J42" s="76">
        <f>_xll.PTreeNodeValue(treeCalc_2!$F$2,28)</f>
        <v>4100000</v>
      </c>
    </row>
    <row r="43" spans="6:10" customFormat="1" ht="15" customHeight="1" x14ac:dyDescent="0.2">
      <c r="I43" s="47">
        <f>$B$4</f>
        <v>0.3</v>
      </c>
      <c r="J43" s="48">
        <f>_xll.PTreeNodeProbability(treeCalc_2!$F$2,30)</f>
        <v>0</v>
      </c>
    </row>
    <row r="44" spans="6:10" customFormat="1" ht="15" customHeight="1" x14ac:dyDescent="0.2">
      <c r="I44" s="78">
        <f>$D$4</f>
        <v>12600000</v>
      </c>
      <c r="J44" s="76">
        <f>_xll.PTreeNodeValue(treeCalc_2!$F$2,30)</f>
        <v>12600000</v>
      </c>
    </row>
    <row r="45" spans="6:10" customFormat="1" ht="15" customHeight="1" x14ac:dyDescent="0.25">
      <c r="H45" s="53" t="b">
        <v>0</v>
      </c>
      <c r="I45" s="49" t="s">
        <v>185</v>
      </c>
      <c r="J45" s="44"/>
    </row>
    <row r="46" spans="6:10" customFormat="1" ht="15" customHeight="1" x14ac:dyDescent="0.25">
      <c r="H46" s="77"/>
      <c r="I46" s="75">
        <f>_xll.PTreeNodeValue(treeCalc_2!$F$2,29)</f>
        <v>6650000</v>
      </c>
      <c r="J46" s="44"/>
    </row>
    <row r="47" spans="6:10" customFormat="1" ht="15" customHeight="1" x14ac:dyDescent="0.2">
      <c r="I47" s="47">
        <f>$C$4</f>
        <v>0.7</v>
      </c>
      <c r="J47" s="48">
        <f>_xll.PTreeNodeProbability(treeCalc_2!$F$2,31)</f>
        <v>0</v>
      </c>
    </row>
    <row r="48" spans="6:10" customFormat="1" ht="15" customHeight="1" x14ac:dyDescent="0.2">
      <c r="I48" s="78">
        <f>$E$4</f>
        <v>4100000</v>
      </c>
      <c r="J48" s="76">
        <f>_xll.PTreeNodeValue(treeCalc_2!$F$2,31)</f>
        <v>4100000</v>
      </c>
    </row>
  </sheetData>
  <pageMargins left="0.7" right="0.7" top="0.75" bottom="0.75" header="0.3" footer="0.3"/>
  <pageSetup scale="6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workbookViewId="0">
      <selection activeCell="C23" sqref="C23"/>
    </sheetView>
  </sheetViews>
  <sheetFormatPr defaultColWidth="15.7109375" defaultRowHeight="12.75" x14ac:dyDescent="0.2"/>
  <cols>
    <col min="1" max="16384" width="15.7109375" style="60"/>
  </cols>
  <sheetData>
    <row r="1" spans="1:16" x14ac:dyDescent="0.2">
      <c r="A1" s="60" t="s">
        <v>127</v>
      </c>
      <c r="B1" s="61" t="s">
        <v>86</v>
      </c>
      <c r="E1" s="60" t="s">
        <v>128</v>
      </c>
      <c r="F1" s="60">
        <v>3</v>
      </c>
      <c r="H1" s="60" t="s">
        <v>129</v>
      </c>
      <c r="I1" s="61" t="s">
        <v>130</v>
      </c>
      <c r="K1" s="60" t="s">
        <v>131</v>
      </c>
      <c r="L1" s="60">
        <v>100</v>
      </c>
    </row>
    <row r="2" spans="1:16" x14ac:dyDescent="0.2">
      <c r="A2" s="60" t="s">
        <v>132</v>
      </c>
      <c r="B2" s="60" t="e">
        <f>'Precision Tree (2)'!#REF!</f>
        <v>#REF!</v>
      </c>
      <c r="E2" s="60" t="s">
        <v>133</v>
      </c>
      <c r="F2" s="60">
        <f>_xll.PTreeEvaluate5(B3,$L$11:$L$41,$J$11:$J$41,$K$11:$K$41,$N$11:$N$41,$G$11:$G$41,,L1)</f>
        <v>231554</v>
      </c>
    </row>
    <row r="3" spans="1:16" x14ac:dyDescent="0.2">
      <c r="A3" s="60" t="s">
        <v>134</v>
      </c>
      <c r="B3" s="60" t="s">
        <v>135</v>
      </c>
      <c r="E3" s="60" t="s">
        <v>136</v>
      </c>
      <c r="F3" s="61" t="s">
        <v>137</v>
      </c>
      <c r="H3" s="60" t="s">
        <v>138</v>
      </c>
      <c r="I3" s="72" t="s">
        <v>139</v>
      </c>
    </row>
    <row r="4" spans="1:16" x14ac:dyDescent="0.2">
      <c r="A4" s="60" t="s">
        <v>140</v>
      </c>
      <c r="B4" s="60" t="s">
        <v>141</v>
      </c>
      <c r="E4" s="60" t="s">
        <v>142</v>
      </c>
      <c r="F4" s="61" t="s">
        <v>143</v>
      </c>
      <c r="H4" s="60" t="s">
        <v>144</v>
      </c>
      <c r="I4" s="61" t="s">
        <v>145</v>
      </c>
    </row>
    <row r="5" spans="1:16" x14ac:dyDescent="0.2">
      <c r="A5" s="60" t="s">
        <v>146</v>
      </c>
      <c r="B5" s="60">
        <v>0</v>
      </c>
      <c r="D5" s="60">
        <v>0</v>
      </c>
      <c r="E5" s="60" t="s">
        <v>147</v>
      </c>
      <c r="F5" s="61" t="s">
        <v>143</v>
      </c>
      <c r="H5" s="60" t="s">
        <v>148</v>
      </c>
      <c r="I5" s="72" t="s">
        <v>139</v>
      </c>
    </row>
    <row r="6" spans="1:16" x14ac:dyDescent="0.2">
      <c r="A6" s="60" t="s">
        <v>149</v>
      </c>
      <c r="E6" s="60" t="s">
        <v>150</v>
      </c>
      <c r="F6" s="61" t="s">
        <v>137</v>
      </c>
      <c r="H6" s="60" t="s">
        <v>151</v>
      </c>
      <c r="I6" s="61" t="s">
        <v>145</v>
      </c>
    </row>
    <row r="7" spans="1:16" x14ac:dyDescent="0.2">
      <c r="A7" s="60" t="s">
        <v>152</v>
      </c>
    </row>
    <row r="8" spans="1:16" x14ac:dyDescent="0.2">
      <c r="A8" s="60" t="s">
        <v>153</v>
      </c>
      <c r="B8" s="60">
        <v>31</v>
      </c>
    </row>
    <row r="10" spans="1:16" x14ac:dyDescent="0.2">
      <c r="A10" s="60" t="s">
        <v>154</v>
      </c>
      <c r="B10" s="60" t="s">
        <v>155</v>
      </c>
      <c r="C10" s="60" t="s">
        <v>156</v>
      </c>
      <c r="D10" s="60" t="s">
        <v>157</v>
      </c>
      <c r="E10" s="60" t="s">
        <v>158</v>
      </c>
      <c r="F10" s="60" t="s">
        <v>159</v>
      </c>
      <c r="G10" s="60" t="s">
        <v>160</v>
      </c>
      <c r="H10" s="60" t="s">
        <v>161</v>
      </c>
      <c r="I10" s="60" t="s">
        <v>162</v>
      </c>
      <c r="J10" s="60" t="s">
        <v>163</v>
      </c>
      <c r="K10" s="60" t="s">
        <v>164</v>
      </c>
      <c r="L10" s="60" t="s">
        <v>134</v>
      </c>
      <c r="M10" s="60" t="s">
        <v>165</v>
      </c>
      <c r="N10" s="60" t="s">
        <v>166</v>
      </c>
      <c r="O10" s="60" t="s">
        <v>167</v>
      </c>
      <c r="P10" s="60" t="s">
        <v>168</v>
      </c>
    </row>
    <row r="11" spans="1:16" x14ac:dyDescent="0.2">
      <c r="A11" s="60">
        <f>'Precision Tree (2)'!$G$34</f>
        <v>67580000</v>
      </c>
      <c r="B11" s="60" t="str">
        <f>B1</f>
        <v>Firm Value</v>
      </c>
      <c r="C11" s="60">
        <v>0</v>
      </c>
      <c r="I11" s="60" t="s">
        <v>169</v>
      </c>
      <c r="J11" s="60">
        <f>'Precision Tree (2)'!$F$34</f>
        <v>0</v>
      </c>
      <c r="K11" s="60">
        <f>'Precision Tree (2)'!$F$33</f>
        <v>0</v>
      </c>
      <c r="L11" s="60" t="s">
        <v>212</v>
      </c>
      <c r="M11" s="61" t="s">
        <v>170</v>
      </c>
      <c r="O11" s="60" t="str">
        <f>'Precision Tree (2)'!$G$33</f>
        <v>Membership Fee Increase</v>
      </c>
      <c r="P11" s="60" t="b">
        <v>0</v>
      </c>
    </row>
    <row r="12" spans="1:16" x14ac:dyDescent="0.2">
      <c r="A12" s="60">
        <f>'Precision Tree (2)'!$H$20</f>
        <v>67580000</v>
      </c>
      <c r="B12" s="61" t="s">
        <v>180</v>
      </c>
      <c r="C12" s="60">
        <v>0</v>
      </c>
      <c r="I12" s="60" t="s">
        <v>169</v>
      </c>
      <c r="J12" s="60">
        <f>'Precision Tree (2)'!$G$20</f>
        <v>0</v>
      </c>
      <c r="L12" s="60" t="s">
        <v>215</v>
      </c>
      <c r="M12" s="61" t="s">
        <v>170</v>
      </c>
      <c r="O12" s="60" t="str">
        <f>'Precision Tree (2)'!$H$19</f>
        <v>Tax Break Probabilities</v>
      </c>
      <c r="P12" s="60" t="b">
        <v>0</v>
      </c>
    </row>
    <row r="13" spans="1:16" x14ac:dyDescent="0.2">
      <c r="B13" s="61"/>
      <c r="M13" s="61"/>
    </row>
    <row r="14" spans="1:16" x14ac:dyDescent="0.2">
      <c r="B14" s="61"/>
      <c r="M14" s="61"/>
    </row>
    <row r="15" spans="1:16" x14ac:dyDescent="0.2">
      <c r="B15" s="61"/>
      <c r="M15" s="61"/>
    </row>
    <row r="16" spans="1:16" x14ac:dyDescent="0.2">
      <c r="A16" s="60">
        <f>'Precision Tree (2)'!$I$24</f>
        <v>67580000</v>
      </c>
      <c r="B16" s="61" t="s">
        <v>179</v>
      </c>
      <c r="C16" s="60">
        <v>0</v>
      </c>
      <c r="I16" s="60" t="s">
        <v>169</v>
      </c>
      <c r="J16" s="60">
        <f>'Precision Tree (2)'!$H$24</f>
        <v>0</v>
      </c>
      <c r="K16" s="60" t="b">
        <f>'Precision Tree (2)'!$H$23</f>
        <v>1</v>
      </c>
      <c r="L16" s="60" t="s">
        <v>216</v>
      </c>
      <c r="M16" s="61" t="s">
        <v>170</v>
      </c>
      <c r="O16" s="60" t="str">
        <f>'Precision Tree (2)'!$I$23</f>
        <v>Expected Firm Value</v>
      </c>
      <c r="P16" s="60" t="b">
        <v>0</v>
      </c>
    </row>
    <row r="17" spans="1:16" x14ac:dyDescent="0.2">
      <c r="A17" s="60">
        <f>'Precision Tree (2)'!$J$22</f>
        <v>76400000</v>
      </c>
      <c r="B17" s="61" t="s">
        <v>171</v>
      </c>
      <c r="C17" s="60">
        <v>0</v>
      </c>
      <c r="H17" s="60" t="s">
        <v>169</v>
      </c>
      <c r="I17" s="60" t="s">
        <v>169</v>
      </c>
      <c r="J17" s="60">
        <f>'Precision Tree (2)'!$I$22</f>
        <v>76400000</v>
      </c>
      <c r="K17" s="60">
        <f>'Precision Tree (2)'!$I$21</f>
        <v>0.3</v>
      </c>
      <c r="L17" s="60" t="s">
        <v>190</v>
      </c>
      <c r="M17" s="61" t="s">
        <v>170</v>
      </c>
      <c r="P17" s="60" t="b">
        <v>0</v>
      </c>
    </row>
    <row r="18" spans="1:16" x14ac:dyDescent="0.2">
      <c r="A18" s="60">
        <f>'Precision Tree (2)'!$J$26</f>
        <v>63800000</v>
      </c>
      <c r="B18" s="61" t="s">
        <v>172</v>
      </c>
      <c r="C18" s="60">
        <v>0</v>
      </c>
      <c r="H18" s="60" t="s">
        <v>169</v>
      </c>
      <c r="I18" s="60" t="s">
        <v>169</v>
      </c>
      <c r="J18" s="60">
        <f>'Precision Tree (2)'!$I$26</f>
        <v>63800000</v>
      </c>
      <c r="K18" s="60">
        <f>'Precision Tree (2)'!$I$25</f>
        <v>0.7</v>
      </c>
      <c r="L18" s="60" t="s">
        <v>190</v>
      </c>
      <c r="M18" s="61" t="s">
        <v>170</v>
      </c>
      <c r="P18" s="60" t="b">
        <v>0</v>
      </c>
    </row>
    <row r="19" spans="1:16" x14ac:dyDescent="0.2">
      <c r="A19" s="60">
        <f>'Precision Tree (2)'!$I$30</f>
        <v>63800000</v>
      </c>
      <c r="B19" s="61" t="s">
        <v>172</v>
      </c>
      <c r="C19" s="60">
        <v>0</v>
      </c>
      <c r="I19" s="60" t="s">
        <v>169</v>
      </c>
      <c r="J19" s="60">
        <f>'Precision Tree (2)'!$H$30</f>
        <v>0</v>
      </c>
      <c r="K19" s="60" t="b">
        <f>'Precision Tree (2)'!$H$29</f>
        <v>0</v>
      </c>
      <c r="L19" s="60" t="s">
        <v>191</v>
      </c>
      <c r="M19" s="61" t="s">
        <v>170</v>
      </c>
      <c r="O19" s="60" t="str">
        <f>'Precision Tree (2)'!$I$29</f>
        <v>Expected Firm Value</v>
      </c>
      <c r="P19" s="60" t="b">
        <v>0</v>
      </c>
    </row>
    <row r="20" spans="1:16" x14ac:dyDescent="0.2">
      <c r="A20" s="60">
        <f>'Precision Tree (2)'!$J$28</f>
        <v>76400000</v>
      </c>
      <c r="B20" s="61" t="s">
        <v>171</v>
      </c>
      <c r="C20" s="60">
        <v>0</v>
      </c>
      <c r="H20" s="60" t="s">
        <v>169</v>
      </c>
      <c r="I20" s="60" t="s">
        <v>169</v>
      </c>
      <c r="J20" s="60">
        <f>'Precision Tree (2)'!$I$28</f>
        <v>76400000</v>
      </c>
      <c r="K20" s="60">
        <f>'Precision Tree (2)'!$I$27</f>
        <v>0</v>
      </c>
      <c r="L20" s="60" t="s">
        <v>176</v>
      </c>
      <c r="M20" s="61" t="s">
        <v>170</v>
      </c>
      <c r="P20" s="60" t="b">
        <v>0</v>
      </c>
    </row>
    <row r="21" spans="1:16" x14ac:dyDescent="0.2">
      <c r="A21" s="60">
        <f>'Precision Tree (2)'!$J$32</f>
        <v>63800000</v>
      </c>
      <c r="B21" s="61" t="s">
        <v>172</v>
      </c>
      <c r="C21" s="60">
        <v>0</v>
      </c>
      <c r="H21" s="60" t="s">
        <v>169</v>
      </c>
      <c r="I21" s="60" t="s">
        <v>169</v>
      </c>
      <c r="J21" s="60">
        <f>'Precision Tree (2)'!$I$32</f>
        <v>63800000</v>
      </c>
      <c r="K21" s="60">
        <f>'Precision Tree (2)'!$I$31</f>
        <v>1</v>
      </c>
      <c r="L21" s="60" t="s">
        <v>176</v>
      </c>
      <c r="M21" s="61" t="s">
        <v>170</v>
      </c>
      <c r="P21" s="60" t="b">
        <v>0</v>
      </c>
    </row>
    <row r="22" spans="1:16" x14ac:dyDescent="0.2">
      <c r="B22" s="61"/>
      <c r="M22" s="61"/>
    </row>
    <row r="23" spans="1:16" x14ac:dyDescent="0.2">
      <c r="B23" s="61"/>
      <c r="M23" s="61"/>
    </row>
    <row r="24" spans="1:16" x14ac:dyDescent="0.2">
      <c r="B24" s="61"/>
      <c r="M24" s="61"/>
    </row>
    <row r="25" spans="1:16" x14ac:dyDescent="0.2">
      <c r="B25" s="61"/>
      <c r="M25" s="61"/>
    </row>
    <row r="26" spans="1:16" x14ac:dyDescent="0.2">
      <c r="B26" s="61"/>
      <c r="M26" s="61"/>
    </row>
    <row r="27" spans="1:16" x14ac:dyDescent="0.2">
      <c r="B27" s="61"/>
      <c r="M27" s="61"/>
    </row>
    <row r="28" spans="1:16" x14ac:dyDescent="0.2">
      <c r="B28" s="61"/>
      <c r="M28" s="61"/>
    </row>
    <row r="29" spans="1:16" x14ac:dyDescent="0.2">
      <c r="B29" s="61"/>
      <c r="M29" s="61"/>
    </row>
    <row r="30" spans="1:16" x14ac:dyDescent="0.2">
      <c r="B30" s="61"/>
      <c r="M30" s="61"/>
    </row>
    <row r="31" spans="1:16" x14ac:dyDescent="0.2">
      <c r="B31" s="61"/>
      <c r="M31" s="61"/>
    </row>
    <row r="32" spans="1:16" x14ac:dyDescent="0.2">
      <c r="A32" s="60">
        <f>'Precision Tree (2)'!$H$36</f>
        <v>4100000</v>
      </c>
      <c r="B32" s="61" t="s">
        <v>187</v>
      </c>
      <c r="C32" s="60">
        <v>0</v>
      </c>
      <c r="I32" s="60" t="s">
        <v>169</v>
      </c>
      <c r="J32" s="60">
        <f>'Precision Tree (2)'!$G$36</f>
        <v>0</v>
      </c>
      <c r="L32" s="60" t="s">
        <v>214</v>
      </c>
      <c r="M32" s="61" t="s">
        <v>170</v>
      </c>
      <c r="O32" s="60" t="str">
        <f>'Precision Tree (2)'!$H$35</f>
        <v>Tax Break Probabilities</v>
      </c>
      <c r="P32" s="60" t="b">
        <v>0</v>
      </c>
    </row>
    <row r="33" spans="1:16" x14ac:dyDescent="0.2">
      <c r="B33" s="61"/>
      <c r="M33" s="61"/>
    </row>
    <row r="34" spans="1:16" x14ac:dyDescent="0.2">
      <c r="B34" s="61"/>
      <c r="M34" s="61"/>
    </row>
    <row r="35" spans="1:16" x14ac:dyDescent="0.2">
      <c r="B35" s="61"/>
      <c r="M35" s="61"/>
    </row>
    <row r="36" spans="1:16" x14ac:dyDescent="0.2">
      <c r="A36" s="60">
        <f>'Precision Tree (2)'!$I$40</f>
        <v>4100000</v>
      </c>
      <c r="B36" s="61" t="s">
        <v>172</v>
      </c>
      <c r="C36" s="60">
        <v>0</v>
      </c>
      <c r="I36" s="60" t="s">
        <v>169</v>
      </c>
      <c r="J36" s="60">
        <f>'Precision Tree (2)'!$H$40</f>
        <v>0</v>
      </c>
      <c r="K36" s="60" t="b">
        <f>'Precision Tree (2)'!$H$39</f>
        <v>1</v>
      </c>
      <c r="L36" s="60" t="s">
        <v>211</v>
      </c>
      <c r="M36" s="61" t="s">
        <v>170</v>
      </c>
      <c r="O36" s="60" t="str">
        <f>'Precision Tree (2)'!$I$39</f>
        <v>Expected Firm Value</v>
      </c>
      <c r="P36" s="60" t="b">
        <v>0</v>
      </c>
    </row>
    <row r="37" spans="1:16" x14ac:dyDescent="0.2">
      <c r="A37" s="60">
        <f>'Precision Tree (2)'!$J$38</f>
        <v>12600000</v>
      </c>
      <c r="B37" s="61" t="s">
        <v>171</v>
      </c>
      <c r="C37" s="60">
        <v>0</v>
      </c>
      <c r="H37" s="60" t="s">
        <v>169</v>
      </c>
      <c r="I37" s="60" t="s">
        <v>169</v>
      </c>
      <c r="J37" s="60">
        <f>'Precision Tree (2)'!$I$38</f>
        <v>12600000</v>
      </c>
      <c r="K37" s="60">
        <f>'Precision Tree (2)'!$I$37</f>
        <v>0</v>
      </c>
      <c r="L37" s="60" t="s">
        <v>200</v>
      </c>
      <c r="M37" s="61" t="s">
        <v>170</v>
      </c>
      <c r="P37" s="60" t="b">
        <v>0</v>
      </c>
    </row>
    <row r="38" spans="1:16" x14ac:dyDescent="0.2">
      <c r="A38" s="60">
        <f>'Precision Tree (2)'!$J$42</f>
        <v>4100000</v>
      </c>
      <c r="B38" s="61" t="s">
        <v>172</v>
      </c>
      <c r="C38" s="60">
        <v>0</v>
      </c>
      <c r="H38" s="60" t="s">
        <v>169</v>
      </c>
      <c r="I38" s="60" t="s">
        <v>169</v>
      </c>
      <c r="J38" s="60">
        <f>'Precision Tree (2)'!$I$42</f>
        <v>4100000</v>
      </c>
      <c r="K38" s="60">
        <f>'Precision Tree (2)'!$I$41</f>
        <v>1</v>
      </c>
      <c r="L38" s="60" t="s">
        <v>200</v>
      </c>
      <c r="M38" s="61" t="s">
        <v>170</v>
      </c>
      <c r="P38" s="60" t="b">
        <v>0</v>
      </c>
    </row>
    <row r="39" spans="1:16" x14ac:dyDescent="0.2">
      <c r="A39" s="60">
        <f>'Precision Tree (2)'!$I$46</f>
        <v>6650000</v>
      </c>
      <c r="B39" s="61" t="s">
        <v>208</v>
      </c>
      <c r="C39" s="60">
        <v>0</v>
      </c>
      <c r="I39" s="60" t="s">
        <v>169</v>
      </c>
      <c r="J39" s="60">
        <f>'Precision Tree (2)'!$H$46</f>
        <v>0</v>
      </c>
      <c r="K39" s="60" t="b">
        <f>'Precision Tree (2)'!$H$45</f>
        <v>0</v>
      </c>
      <c r="L39" s="60" t="s">
        <v>201</v>
      </c>
      <c r="M39" s="61" t="s">
        <v>170</v>
      </c>
      <c r="O39" s="60" t="str">
        <f>'Precision Tree (2)'!$I$45</f>
        <v>Expected Firm Value</v>
      </c>
      <c r="P39" s="60" t="b">
        <v>0</v>
      </c>
    </row>
    <row r="40" spans="1:16" x14ac:dyDescent="0.2">
      <c r="A40" s="60">
        <f>'Precision Tree (2)'!$J$44</f>
        <v>12600000</v>
      </c>
      <c r="B40" s="61" t="s">
        <v>171</v>
      </c>
      <c r="C40" s="60">
        <v>0</v>
      </c>
      <c r="H40" s="60" t="s">
        <v>169</v>
      </c>
      <c r="I40" s="60" t="s">
        <v>169</v>
      </c>
      <c r="J40" s="60">
        <f>'Precision Tree (2)'!$I$44</f>
        <v>12600000</v>
      </c>
      <c r="K40" s="60">
        <f>'Precision Tree (2)'!$I$43</f>
        <v>0.3</v>
      </c>
      <c r="L40" s="60" t="s">
        <v>202</v>
      </c>
      <c r="M40" s="61" t="s">
        <v>170</v>
      </c>
      <c r="P40" s="60" t="b">
        <v>0</v>
      </c>
    </row>
    <row r="41" spans="1:16" x14ac:dyDescent="0.2">
      <c r="A41" s="60">
        <f>'Precision Tree (2)'!$J$48</f>
        <v>4100000</v>
      </c>
      <c r="B41" s="61" t="s">
        <v>172</v>
      </c>
      <c r="C41" s="60">
        <v>0</v>
      </c>
      <c r="H41" s="60" t="s">
        <v>169</v>
      </c>
      <c r="I41" s="60" t="s">
        <v>169</v>
      </c>
      <c r="J41" s="60">
        <f>'Precision Tree (2)'!$I$48</f>
        <v>4100000</v>
      </c>
      <c r="K41" s="60">
        <f>'Precision Tree (2)'!$I$47</f>
        <v>0.7</v>
      </c>
      <c r="L41" s="60" t="s">
        <v>202</v>
      </c>
      <c r="M41" s="61" t="s">
        <v>170</v>
      </c>
      <c r="P41" s="60" t="b">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Model</vt:lpstr>
      <vt:lpstr>Demand</vt:lpstr>
      <vt:lpstr>Fin</vt:lpstr>
      <vt:lpstr>Precision Tree</vt:lpstr>
      <vt:lpstr>_PalUtilTempWorksheet</vt:lpstr>
      <vt:lpstr>treeCalc_1</vt:lpstr>
      <vt:lpstr>Precision Tree (2)</vt:lpstr>
      <vt:lpstr>treeCalc_2</vt:lpstr>
      <vt:lpstr>'Precision Tree'!Print_Area</vt:lpstr>
      <vt:lpstr>'Precision Tree (2)'!Print_Area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cagebrew</dc:creator>
  <cp:lastModifiedBy>Kathryn</cp:lastModifiedBy>
  <cp:lastPrinted>2014-04-28T02:12:08Z</cp:lastPrinted>
  <dcterms:created xsi:type="dcterms:W3CDTF">2014-04-07T20:31:01Z</dcterms:created>
  <dcterms:modified xsi:type="dcterms:W3CDTF">2014-04-30T01:35:20Z</dcterms:modified>
</cp:coreProperties>
</file>