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X:\FIN\SFIGLEWS\Teaching 2018\"/>
    </mc:Choice>
  </mc:AlternateContent>
  <bookViews>
    <workbookView xWindow="240" yWindow="120" windowWidth="15480" windowHeight="9825"/>
  </bookViews>
  <sheets>
    <sheet name="Optcalc template" sheetId="2" r:id="rId1"/>
    <sheet name="one-way table" sheetId="1" r:id="rId2"/>
    <sheet name="2-way" sheetId="3" r:id="rId3"/>
    <sheet name="Option portfolio" sheetId="4" r:id="rId4"/>
    <sheet name="American call" sheetId="5" r:id="rId5"/>
  </sheets>
  <calcPr calcId="152511" iterate="1" iterateCount="200" iterateDelta="9.9999999999999995E-7"/>
</workbook>
</file>

<file path=xl/calcChain.xml><?xml version="1.0" encoding="utf-8"?>
<calcChain xmlns="http://schemas.openxmlformats.org/spreadsheetml/2006/main">
  <c r="I9" i="1" l="1"/>
  <c r="J7" i="1"/>
  <c r="K7" i="1" s="1"/>
  <c r="I7" i="1"/>
  <c r="I5" i="1" s="1"/>
  <c r="L5" i="1"/>
  <c r="K5" i="1"/>
  <c r="C4" i="1"/>
  <c r="K3" i="1"/>
  <c r="L3" i="1" s="1"/>
  <c r="D33" i="4"/>
  <c r="C33" i="4"/>
  <c r="D32" i="4"/>
  <c r="C32" i="4"/>
  <c r="D31" i="4"/>
  <c r="C31" i="4"/>
  <c r="D30" i="4"/>
  <c r="C30" i="4"/>
  <c r="C13" i="4"/>
  <c r="C15" i="4"/>
  <c r="C17" i="4"/>
  <c r="C18" i="4"/>
  <c r="C19" i="4"/>
  <c r="C12" i="4"/>
  <c r="M3" i="1" l="1"/>
  <c r="M7" i="1"/>
  <c r="M5" i="1"/>
  <c r="F4" i="1"/>
  <c r="G4" i="1" s="1"/>
  <c r="L7" i="1"/>
  <c r="I3" i="1"/>
  <c r="F5" i="1"/>
  <c r="G5" i="1" s="1"/>
  <c r="B36" i="4"/>
  <c r="B37" i="4" s="1"/>
  <c r="K13" i="4"/>
  <c r="B30" i="4"/>
  <c r="K3" i="4"/>
  <c r="B38" i="4"/>
  <c r="B33" i="4"/>
  <c r="B32" i="4"/>
  <c r="B31" i="4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C4" i="3"/>
  <c r="C17" i="5"/>
  <c r="C14" i="5"/>
  <c r="C5" i="5"/>
  <c r="I7" i="5"/>
  <c r="C4" i="5"/>
  <c r="I3" i="5" s="1"/>
  <c r="I9" i="5"/>
  <c r="J7" i="5"/>
  <c r="K7" i="5"/>
  <c r="K5" i="5"/>
  <c r="J17" i="4"/>
  <c r="I19" i="4"/>
  <c r="I17" i="4"/>
  <c r="K15" i="4"/>
  <c r="I9" i="4"/>
  <c r="J7" i="4"/>
  <c r="K7" i="4" s="1"/>
  <c r="I7" i="4"/>
  <c r="C4" i="4"/>
  <c r="C14" i="4" s="1"/>
  <c r="K5" i="4"/>
  <c r="I3" i="4"/>
  <c r="I9" i="3"/>
  <c r="J7" i="3"/>
  <c r="K7" i="3"/>
  <c r="I7" i="3"/>
  <c r="K5" i="3"/>
  <c r="K3" i="3"/>
  <c r="I9" i="2"/>
  <c r="J7" i="2"/>
  <c r="K7" i="2" s="1"/>
  <c r="I7" i="2"/>
  <c r="C4" i="2"/>
  <c r="I3" i="2" s="1"/>
  <c r="K5" i="2"/>
  <c r="K3" i="2"/>
  <c r="N3" i="1" l="1"/>
  <c r="G6" i="1" s="1"/>
  <c r="F6" i="1"/>
  <c r="F7" i="1"/>
  <c r="N5" i="1"/>
  <c r="G7" i="1" s="1"/>
  <c r="F8" i="1"/>
  <c r="N7" i="1"/>
  <c r="G8" i="1" s="1"/>
  <c r="I5" i="2"/>
  <c r="M5" i="2" s="1"/>
  <c r="N5" i="2" s="1"/>
  <c r="L5" i="4"/>
  <c r="L15" i="4"/>
  <c r="I5" i="5"/>
  <c r="F5" i="5" s="1"/>
  <c r="G5" i="5" s="1"/>
  <c r="L3" i="2"/>
  <c r="L7" i="3"/>
  <c r="L3" i="4"/>
  <c r="M3" i="4" s="1"/>
  <c r="N3" i="4" s="1"/>
  <c r="L5" i="3"/>
  <c r="L3" i="3"/>
  <c r="M3" i="3" s="1"/>
  <c r="I3" i="3"/>
  <c r="L5" i="5"/>
  <c r="L5" i="2"/>
  <c r="I5" i="4"/>
  <c r="F5" i="4" s="1"/>
  <c r="K17" i="4"/>
  <c r="L7" i="4"/>
  <c r="K3" i="5"/>
  <c r="L3" i="5" s="1"/>
  <c r="M3" i="5" s="1"/>
  <c r="I5" i="3"/>
  <c r="M5" i="3" s="1"/>
  <c r="F5" i="2"/>
  <c r="G5" i="2" s="1"/>
  <c r="M3" i="2"/>
  <c r="L7" i="5"/>
  <c r="L7" i="2"/>
  <c r="F4" i="5" l="1"/>
  <c r="C16" i="5" s="1"/>
  <c r="C19" i="5" s="1"/>
  <c r="C21" i="5" s="1"/>
  <c r="M7" i="5"/>
  <c r="F8" i="5" s="1"/>
  <c r="I13" i="4"/>
  <c r="M5" i="5"/>
  <c r="F7" i="5" s="1"/>
  <c r="F4" i="2"/>
  <c r="G4" i="2" s="1"/>
  <c r="G7" i="2" s="1"/>
  <c r="M7" i="2"/>
  <c r="N7" i="2" s="1"/>
  <c r="G8" i="2" s="1"/>
  <c r="I15" i="4"/>
  <c r="F15" i="4" s="1"/>
  <c r="L13" i="4"/>
  <c r="M13" i="4" s="1"/>
  <c r="G5" i="4"/>
  <c r="G6" i="4" s="1"/>
  <c r="C38" i="4"/>
  <c r="F6" i="4"/>
  <c r="F4" i="4"/>
  <c r="C36" i="4" s="1"/>
  <c r="N7" i="5"/>
  <c r="N5" i="3"/>
  <c r="M5" i="4"/>
  <c r="F4" i="3"/>
  <c r="F7" i="2"/>
  <c r="N3" i="2"/>
  <c r="G6" i="2" s="1"/>
  <c r="F6" i="2"/>
  <c r="F5" i="3"/>
  <c r="G5" i="3" s="1"/>
  <c r="M7" i="4"/>
  <c r="L17" i="4"/>
  <c r="M7" i="3"/>
  <c r="F6" i="5"/>
  <c r="N3" i="5"/>
  <c r="G6" i="5" s="1"/>
  <c r="N3" i="3"/>
  <c r="N5" i="5" l="1"/>
  <c r="G7" i="5" s="1"/>
  <c r="G4" i="5"/>
  <c r="G8" i="5" s="1"/>
  <c r="D38" i="4"/>
  <c r="E38" i="4" s="1"/>
  <c r="E31" i="4"/>
  <c r="C39" i="4"/>
  <c r="F7" i="3"/>
  <c r="N13" i="4"/>
  <c r="F16" i="4"/>
  <c r="G15" i="4"/>
  <c r="F8" i="2"/>
  <c r="M17" i="4"/>
  <c r="N17" i="4" s="1"/>
  <c r="F14" i="4"/>
  <c r="D36" i="4" s="1"/>
  <c r="M15" i="4"/>
  <c r="G6" i="3"/>
  <c r="F6" i="3"/>
  <c r="F8" i="3"/>
  <c r="N7" i="3"/>
  <c r="N7" i="4"/>
  <c r="F8" i="4"/>
  <c r="F7" i="4"/>
  <c r="N5" i="4"/>
  <c r="C37" i="4"/>
  <c r="G4" i="4"/>
  <c r="G4" i="3"/>
  <c r="G7" i="3" s="1"/>
  <c r="D39" i="4" l="1"/>
  <c r="E39" i="4" s="1"/>
  <c r="E32" i="4"/>
  <c r="F32" i="4" s="1"/>
  <c r="F18" i="4"/>
  <c r="E30" i="4"/>
  <c r="C40" i="4"/>
  <c r="G16" i="4"/>
  <c r="F17" i="4"/>
  <c r="N15" i="4"/>
  <c r="D37" i="4"/>
  <c r="E37" i="4" s="1"/>
  <c r="G14" i="4"/>
  <c r="G18" i="4" s="1"/>
  <c r="G8" i="4"/>
  <c r="G8" i="3"/>
  <c r="G7" i="4"/>
  <c r="E33" i="4" l="1"/>
  <c r="F37" i="4"/>
  <c r="H24" i="4" s="1"/>
  <c r="D40" i="4"/>
  <c r="E40" i="4" s="1"/>
  <c r="G17" i="4"/>
</calcChain>
</file>

<file path=xl/comments1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2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3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4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  <comment ref="C1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1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1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1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comments5.xml><?xml version="1.0" encoding="utf-8"?>
<comments xmlns="http://schemas.openxmlformats.org/spreadsheetml/2006/main">
  <authors>
    <author>.</author>
  </authors>
  <commentList>
    <comment ref="C4" authorId="0" shapeId="0">
      <text>
        <r>
          <rPr>
            <b/>
            <sz val="10"/>
            <color indexed="81"/>
            <rFont val="Tahoma"/>
            <family val="2"/>
          </rPr>
          <t>The spreadsheet calculates the time to maturity by subtracting today's date from the maturity date.  You can put a specific option lifetime, e.g., 1 year, into the calculation directly, by putting it into this cell.  If you do, the spreadsheet will ignore the two dates in the cells above this one.</t>
        </r>
      </text>
    </comment>
    <comment ref="C7" authorId="0" shapeId="0">
      <text>
        <r>
          <rPr>
            <b/>
            <sz val="10"/>
            <color indexed="81"/>
            <rFont val="Tahoma"/>
            <family val="2"/>
          </rPr>
          <t xml:space="preserve">Enter the interest rate as a decimal, e.g., 5% as 0.05.  This is the </t>
        </r>
        <r>
          <rPr>
            <b/>
            <u/>
            <sz val="12"/>
            <color indexed="81"/>
            <rFont val="Tahoma"/>
            <family val="2"/>
          </rPr>
          <t>simple</t>
        </r>
        <r>
          <rPr>
            <b/>
            <sz val="10"/>
            <color indexed="81"/>
            <rFont val="Tahoma"/>
            <family val="2"/>
          </rPr>
          <t xml:space="preserve"> interest rate.  The spreadsheet converts it to continuous compounding.</t>
        </r>
      </text>
    </comment>
    <comment ref="C8" authorId="0" shapeId="0">
      <text>
        <r>
          <rPr>
            <b/>
            <sz val="10"/>
            <color indexed="81"/>
            <rFont val="Tahoma"/>
            <family val="2"/>
          </rPr>
          <t>Volatility as an annual percent, entered as a decimal, e.g., 20% is entered as 0.20.</t>
        </r>
      </text>
    </comment>
    <comment ref="C9" authorId="0" shapeId="0">
      <text>
        <r>
          <rPr>
            <b/>
            <sz val="10"/>
            <color indexed="81"/>
            <rFont val="Tahoma"/>
            <family val="2"/>
          </rPr>
          <t>Enter the dividend yield (or the percentage rate of cash payout for other underlying assets) as a decimal, e.g., 5% as 0.05.  This is the simple rate.  The spreadsheet converts it to continuous compounding.</t>
        </r>
      </text>
    </comment>
  </commentList>
</comments>
</file>

<file path=xl/sharedStrings.xml><?xml version="1.0" encoding="utf-8"?>
<sst xmlns="http://schemas.openxmlformats.org/spreadsheetml/2006/main" count="230" uniqueCount="66">
  <si>
    <t>----------------INPUTS----------------</t>
  </si>
  <si>
    <t>----------------OUTPUTS----------------</t>
  </si>
  <si>
    <t>--------------------------------CALCULATION CELLS--------------------------------</t>
  </si>
  <si>
    <t>TODAY'S DATE</t>
  </si>
  <si>
    <t>ANNUALIZATION FACTOR</t>
  </si>
  <si>
    <t>S + .001</t>
  </si>
  <si>
    <t>NEW D1</t>
  </si>
  <si>
    <t>NEW CALL DELTA</t>
  </si>
  <si>
    <t>NEW PUT DELTA</t>
  </si>
  <si>
    <t>OPTION MATURITY</t>
  </si>
  <si>
    <t>CALL</t>
  </si>
  <si>
    <t>PUT</t>
  </si>
  <si>
    <t>TIME TO MATURITY</t>
  </si>
  <si>
    <t>VALUE</t>
  </si>
  <si>
    <t>D1</t>
  </si>
  <si>
    <t>VOLY + .0001</t>
  </si>
  <si>
    <t>NEW CALL VALUE</t>
  </si>
  <si>
    <t>NEW PUT VALUE</t>
  </si>
  <si>
    <t>ASSET PRICE</t>
  </si>
  <si>
    <t>DELTA</t>
  </si>
  <si>
    <t>STRIKE</t>
  </si>
  <si>
    <t>GAMMA</t>
  </si>
  <si>
    <t>CONTINUOUS r</t>
  </si>
  <si>
    <t>TODAY + 1 DAY</t>
  </si>
  <si>
    <t>NEW T TO MAT.</t>
  </si>
  <si>
    <t>INTEREST</t>
  </si>
  <si>
    <t>VEGA</t>
  </si>
  <si>
    <t>VOLATILITY</t>
  </si>
  <si>
    <t>THETA</t>
  </si>
  <si>
    <t>CONT. DIV</t>
  </si>
  <si>
    <t>PAYOUT RATE</t>
  </si>
  <si>
    <t>Stock</t>
  </si>
  <si>
    <t>S0</t>
  </si>
  <si>
    <t>#shares</t>
  </si>
  <si>
    <t>delta</t>
  </si>
  <si>
    <t>gamma</t>
  </si>
  <si>
    <t>vega</t>
  </si>
  <si>
    <t>current price</t>
  </si>
  <si>
    <t>current value</t>
  </si>
  <si>
    <t>C100</t>
  </si>
  <si>
    <t>C105</t>
  </si>
  <si>
    <t>Portfolio</t>
  </si>
  <si>
    <t>current pos'n delta</t>
  </si>
  <si>
    <t>current pos'n gamma</t>
  </si>
  <si>
    <t>current pos'n vega</t>
  </si>
  <si>
    <t>Portfolio P&amp;L</t>
  </si>
  <si>
    <t>Dividend</t>
  </si>
  <si>
    <t>Call value if not exercised</t>
  </si>
  <si>
    <t>Intrinsic value if exercised</t>
  </si>
  <si>
    <t>Stock price before going ex-div</t>
  </si>
  <si>
    <t>Stock price after going ex-div</t>
  </si>
  <si>
    <t>value of exercising early</t>
  </si>
  <si>
    <t>position delta</t>
  </si>
  <si>
    <t>position gamma</t>
  </si>
  <si>
    <t>position vega</t>
  </si>
  <si>
    <t>initial value (cost)</t>
  </si>
  <si>
    <t>Initial values</t>
  </si>
  <si>
    <t>Current values</t>
  </si>
  <si>
    <t>Intrinsic value</t>
  </si>
  <si>
    <t>Covered call</t>
  </si>
  <si>
    <t>Delta hedge</t>
  </si>
  <si>
    <t>Call</t>
  </si>
  <si>
    <t>Option v. option</t>
  </si>
  <si>
    <t>Delta-gamma hedge</t>
  </si>
  <si>
    <t>call delta</t>
  </si>
  <si>
    <t>saved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</si>
</sst>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b/>
      <sz val="10"/>
      <color indexed="17"/>
      <name val="Arial"/>
      <family val="2"/>
    </font>
    <font>
      <b/>
      <sz val="10"/>
      <color indexed="81"/>
      <name val="Tahoma"/>
      <family val="2"/>
    </font>
    <font>
      <b/>
      <u/>
      <sz val="12"/>
      <color indexed="81"/>
      <name val="Tahoma"/>
      <family val="2"/>
    </font>
    <font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quotePrefix="1" applyFont="1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2" xfId="0" applyBorder="1" applyAlignment="1" applyProtection="1">
      <alignment horizontal="centerContinuous"/>
      <protection locked="0"/>
    </xf>
    <xf numFmtId="0" fontId="0" fillId="0" borderId="2" xfId="0" applyBorder="1" applyProtection="1">
      <protection locked="0"/>
    </xf>
    <xf numFmtId="0" fontId="1" fillId="0" borderId="2" xfId="0" quotePrefix="1" applyFont="1" applyBorder="1" applyAlignment="1" applyProtection="1">
      <alignment horizontal="centerContinuous"/>
      <protection locked="0"/>
    </xf>
    <xf numFmtId="0" fontId="2" fillId="0" borderId="2" xfId="0" applyFont="1" applyBorder="1" applyAlignment="1" applyProtection="1">
      <alignment horizontal="centerContinuous"/>
      <protection locked="0"/>
    </xf>
    <xf numFmtId="0" fontId="2" fillId="0" borderId="3" xfId="0" applyFont="1" applyBorder="1" applyAlignment="1" applyProtection="1">
      <alignment horizontal="centerContinuous"/>
      <protection locked="0"/>
    </xf>
    <xf numFmtId="0" fontId="2" fillId="0" borderId="4" xfId="0" applyFont="1" applyBorder="1"/>
    <xf numFmtId="0" fontId="2" fillId="0" borderId="0" xfId="0" applyFont="1" applyBorder="1"/>
    <xf numFmtId="14" fontId="3" fillId="0" borderId="0" xfId="0" applyNumberFormat="1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0" xfId="0" applyFont="1" applyBorder="1" applyProtection="1">
      <protection locked="0"/>
    </xf>
    <xf numFmtId="0" fontId="0" fillId="0" borderId="0" xfId="0" applyBorder="1"/>
    <xf numFmtId="164" fontId="3" fillId="0" borderId="0" xfId="0" applyNumberFormat="1" applyFont="1" applyBorder="1" applyProtection="1">
      <protection locked="0"/>
    </xf>
    <xf numFmtId="164" fontId="4" fillId="0" borderId="0" xfId="0" applyNumberFormat="1" applyFont="1" applyBorder="1" applyProtection="1">
      <protection locked="0"/>
    </xf>
    <xf numFmtId="0" fontId="3" fillId="0" borderId="0" xfId="0" applyFont="1" applyBorder="1" applyProtection="1">
      <protection locked="0"/>
    </xf>
    <xf numFmtId="165" fontId="4" fillId="0" borderId="0" xfId="0" applyNumberFormat="1" applyFont="1" applyBorder="1" applyProtection="1">
      <protection locked="0"/>
    </xf>
    <xf numFmtId="14" fontId="0" fillId="0" borderId="0" xfId="0" applyNumberFormat="1" applyBorder="1" applyProtection="1">
      <protection locked="0"/>
    </xf>
    <xf numFmtId="10" fontId="3" fillId="0" borderId="0" xfId="0" applyNumberFormat="1" applyFont="1" applyBorder="1" applyProtection="1">
      <protection locked="0"/>
    </xf>
    <xf numFmtId="0" fontId="2" fillId="0" borderId="6" xfId="0" applyFont="1" applyBorder="1"/>
    <xf numFmtId="0" fontId="2" fillId="0" borderId="7" xfId="0" applyFont="1" applyBorder="1"/>
    <xf numFmtId="0" fontId="3" fillId="0" borderId="7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164" fontId="0" fillId="0" borderId="0" xfId="0" applyNumberFormat="1"/>
    <xf numFmtId="14" fontId="0" fillId="0" borderId="0" xfId="0" applyNumberFormat="1"/>
    <xf numFmtId="0" fontId="2" fillId="0" borderId="1" xfId="0" quotePrefix="1" applyFont="1" applyBorder="1" applyAlignment="1">
      <alignment horizontal="centerContinuous"/>
    </xf>
    <xf numFmtId="0" fontId="7" fillId="0" borderId="2" xfId="0" applyFont="1" applyBorder="1" applyAlignment="1">
      <alignment horizontal="centerContinuous"/>
    </xf>
    <xf numFmtId="0" fontId="7" fillId="0" borderId="2" xfId="0" applyFont="1" applyBorder="1" applyAlignment="1" applyProtection="1">
      <alignment horizontal="centerContinuous"/>
      <protection locked="0"/>
    </xf>
    <xf numFmtId="0" fontId="7" fillId="0" borderId="2" xfId="0" applyFont="1" applyBorder="1" applyProtection="1">
      <protection locked="0"/>
    </xf>
    <xf numFmtId="0" fontId="2" fillId="0" borderId="2" xfId="0" quotePrefix="1" applyFont="1" applyBorder="1" applyAlignment="1" applyProtection="1">
      <alignment horizontal="centerContinuous"/>
      <protection locked="0"/>
    </xf>
    <xf numFmtId="0" fontId="7" fillId="0" borderId="0" xfId="0" applyFont="1"/>
    <xf numFmtId="0" fontId="7" fillId="0" borderId="0" xfId="0" applyFont="1" applyBorder="1" applyProtection="1">
      <protection locked="0"/>
    </xf>
    <xf numFmtId="0" fontId="7" fillId="0" borderId="5" xfId="0" applyFont="1" applyBorder="1" applyProtection="1">
      <protection locked="0"/>
    </xf>
    <xf numFmtId="0" fontId="7" fillId="0" borderId="0" xfId="0" applyFont="1" applyBorder="1"/>
    <xf numFmtId="14" fontId="7" fillId="0" borderId="0" xfId="0" applyNumberFormat="1" applyFont="1" applyBorder="1" applyProtection="1">
      <protection locked="0"/>
    </xf>
    <xf numFmtId="0" fontId="7" fillId="0" borderId="7" xfId="0" applyFont="1" applyBorder="1" applyProtection="1">
      <protection locked="0"/>
    </xf>
    <xf numFmtId="0" fontId="7" fillId="0" borderId="8" xfId="0" applyFont="1" applyBorder="1" applyProtection="1">
      <protection locked="0"/>
    </xf>
    <xf numFmtId="2" fontId="0" fillId="0" borderId="0" xfId="0" applyNumberFormat="1"/>
    <xf numFmtId="164" fontId="7" fillId="0" borderId="0" xfId="0" applyNumberFormat="1" applyFont="1"/>
    <xf numFmtId="2" fontId="7" fillId="0" borderId="0" xfId="0" applyNumberFormat="1" applyFont="1"/>
    <xf numFmtId="164" fontId="7" fillId="2" borderId="0" xfId="0" applyNumberFormat="1" applyFont="1" applyFill="1"/>
    <xf numFmtId="0" fontId="0" fillId="3" borderId="9" xfId="0" applyFill="1" applyBorder="1"/>
    <xf numFmtId="0" fontId="7" fillId="3" borderId="0" xfId="0" applyFont="1" applyFill="1"/>
    <xf numFmtId="164" fontId="7" fillId="3" borderId="0" xfId="0" applyNumberFormat="1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8333493381336887E-2"/>
          <c:y val="6.4676774032119758E-2"/>
          <c:w val="0.85833473036251684"/>
          <c:h val="0.75373317429739561"/>
        </c:manualLayout>
      </c:layout>
      <c:scatterChart>
        <c:scatterStyle val="lineMarker"/>
        <c:varyColors val="0"/>
        <c:ser>
          <c:idx val="0"/>
          <c:order val="0"/>
          <c:tx>
            <c:v>Option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'one-way table'!$H$15:$H$45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1"/>
          <c:order val="1"/>
          <c:tx>
            <c:v>delta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'one-way table'!$I$15:$I$45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2"/>
          <c:order val="2"/>
          <c:tx>
            <c:v>gamma</c:v>
          </c:tx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'one-way table'!$J$15:$J$45</c:f>
              <c:numCache>
                <c:formatCode>General</c:formatCode>
                <c:ptCount val="31"/>
              </c:numCache>
            </c:numRef>
          </c:yVal>
          <c:smooth val="0"/>
        </c:ser>
        <c:ser>
          <c:idx val="3"/>
          <c:order val="3"/>
          <c:tx>
            <c:v>vega</c:v>
          </c:tx>
          <c:marker>
            <c:symbol val="none"/>
          </c:marker>
          <c:xVal>
            <c:numRef>
              <c:f>'one-way table'!$G$15:$G$45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'one-way table'!$K$15:$K$45</c:f>
              <c:numCache>
                <c:formatCode>General</c:formatCode>
                <c:ptCount val="31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0202320"/>
        <c:axId val="488594728"/>
      </c:scatterChart>
      <c:valAx>
        <c:axId val="490202320"/>
        <c:scaling>
          <c:orientation val="minMax"/>
          <c:max val="115"/>
          <c:min val="85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8594728"/>
        <c:crosses val="autoZero"/>
        <c:crossBetween val="midCat"/>
        <c:majorUnit val="5"/>
      </c:valAx>
      <c:valAx>
        <c:axId val="4885947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020232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39833403324584427"/>
          <c:y val="0.92288792259176555"/>
          <c:w val="0.51644199475065622"/>
          <c:h val="5.365560648202557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Call Option Time Decay</a:t>
            </a:r>
          </a:p>
        </c:rich>
      </c:tx>
      <c:layout>
        <c:manualLayout>
          <c:xMode val="edge"/>
          <c:yMode val="edge"/>
          <c:x val="0.35379672496333942"/>
          <c:y val="3.23383870160598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08734325094598"/>
          <c:y val="0.17661734447232702"/>
          <c:w val="0.82391018142147543"/>
          <c:h val="0.58209096628907775"/>
        </c:manualLayout>
      </c:layout>
      <c:scatterChart>
        <c:scatterStyle val="lineMarker"/>
        <c:varyColors val="0"/>
        <c:ser>
          <c:idx val="0"/>
          <c:order val="0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'2-way'!$H$15:$H$45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1"/>
          <c:order val="1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'2-way'!$I$15:$I$45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2"/>
          <c:order val="2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'2-way'!$J$15:$J$45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3"/>
          <c:order val="3"/>
          <c:tx>
            <c:strRef>
              <c:f>'2-way'!#REF!</c:f>
              <c:strCache>
                <c:ptCount val="1"/>
                <c:pt idx="0">
                  <c:v>#REF!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'2-way'!$K$15:$K$45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4"/>
          <c:order val="4"/>
          <c:tx>
            <c:strRef>
              <c:f>'2-way'!$L$14</c:f>
              <c:strCache>
                <c:ptCount val="1"/>
                <c:pt idx="0">
                  <c:v>Intrinsic value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xVal>
            <c:numRef>
              <c:f>'2-way'!$G$15:$G$45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</c:numCache>
            </c:numRef>
          </c:xVal>
          <c:yVal>
            <c:numRef>
              <c:f>'2-way'!$L$15:$L$45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8595512"/>
        <c:axId val="488595904"/>
      </c:scatterChart>
      <c:valAx>
        <c:axId val="488595512"/>
        <c:scaling>
          <c:orientation val="minMax"/>
          <c:max val="115"/>
          <c:min val="85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Stock price</a:t>
                </a:r>
              </a:p>
            </c:rich>
          </c:tx>
          <c:layout>
            <c:manualLayout>
              <c:xMode val="edge"/>
              <c:yMode val="edge"/>
              <c:x val="0.48626855805463548"/>
              <c:y val="0.8358229259535475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8595904"/>
        <c:crosses val="autoZero"/>
        <c:crossBetween val="midCat"/>
        <c:majorUnit val="5"/>
      </c:valAx>
      <c:valAx>
        <c:axId val="4885959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Option value</a:t>
                </a:r>
              </a:p>
            </c:rich>
          </c:tx>
          <c:layout>
            <c:manualLayout>
              <c:xMode val="edge"/>
              <c:yMode val="edge"/>
              <c:x val="2.5848162554399229E-2"/>
              <c:y val="0.36318496187267246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859551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14378040420884572"/>
          <c:y val="0.92288781407370879"/>
          <c:w val="0.80290854934602607"/>
          <c:h val="5.9701637568110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3423171152734275"/>
          <c:y val="3.097345132743362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312213153889191"/>
          <c:y val="0.15265486725663716"/>
          <c:w val="0.82250459843672497"/>
          <c:h val="0.72566371681415931"/>
        </c:manualLayout>
      </c:layout>
      <c:scatterChart>
        <c:scatterStyle val="lineMarker"/>
        <c:varyColors val="0"/>
        <c:ser>
          <c:idx val="0"/>
          <c:order val="0"/>
          <c:tx>
            <c:v>Position P&amp;L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portfolio'!$H$25:$H$55</c:f>
              <c:numCache>
                <c:formatCode>0.00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1265712"/>
        <c:axId val="491266104"/>
      </c:scatterChart>
      <c:valAx>
        <c:axId val="491265712"/>
        <c:scaling>
          <c:orientation val="minMax"/>
          <c:max val="115"/>
          <c:min val="85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1266104"/>
        <c:crosses val="autoZero"/>
        <c:crossBetween val="midCat"/>
        <c:majorUnit val="5"/>
      </c:valAx>
      <c:valAx>
        <c:axId val="4912661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1265712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5166402535657685"/>
          <c:y val="0.92920353982300885"/>
          <c:w val="0.18858954041204437"/>
          <c:h val="5.530973451327433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6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Option Position P&amp;L</a:t>
            </a:r>
          </a:p>
        </c:rich>
      </c:tx>
      <c:layout>
        <c:manualLayout>
          <c:xMode val="edge"/>
          <c:yMode val="edge"/>
          <c:x val="0.37156733671948888"/>
          <c:y val="3.03030943568519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408734325094598"/>
          <c:y val="0.15800899200358495"/>
          <c:w val="0.82391018142147543"/>
          <c:h val="0.67532610280984262"/>
        </c:manualLayout>
      </c:layout>
      <c:scatterChart>
        <c:scatterStyle val="lineMarker"/>
        <c:varyColors val="0"/>
        <c:ser>
          <c:idx val="3"/>
          <c:order val="0"/>
          <c:tx>
            <c:strRef>
              <c:f>'Option portfolio'!$L$24</c:f>
              <c:strCache>
                <c:ptCount val="1"/>
                <c:pt idx="0">
                  <c:v>Covered call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portfolio'!$L$25:$L$55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4"/>
          <c:order val="1"/>
          <c:tx>
            <c:strRef>
              <c:f>'Option portfolio'!$M$24</c:f>
              <c:strCache>
                <c:ptCount val="1"/>
                <c:pt idx="0">
                  <c:v>Delta hedge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portfolio'!$M$25:$M$55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5"/>
          <c:order val="2"/>
          <c:tx>
            <c:strRef>
              <c:f>'Option portfolio'!$N$24</c:f>
              <c:strCache>
                <c:ptCount val="1"/>
                <c:pt idx="0">
                  <c:v>Option v. option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portfolio'!$N$25:$N$55</c:f>
              <c:numCache>
                <c:formatCode>0.00</c:formatCode>
                <c:ptCount val="31"/>
              </c:numCache>
            </c:numRef>
          </c:yVal>
          <c:smooth val="0"/>
        </c:ser>
        <c:ser>
          <c:idx val="6"/>
          <c:order val="3"/>
          <c:tx>
            <c:strRef>
              <c:f>'Option portfolio'!$O$24</c:f>
              <c:strCache>
                <c:ptCount val="1"/>
                <c:pt idx="0">
                  <c:v>Delta-gamma hedge</c:v>
                </c:pt>
              </c:strCache>
            </c:strRef>
          </c:tx>
          <c:spPr>
            <a:ln w="12700">
              <a:solidFill>
                <a:srgbClr val="008080"/>
              </a:solidFill>
              <a:prstDash val="solid"/>
            </a:ln>
          </c:spPr>
          <c:marker>
            <c:symbol val="none"/>
          </c:marker>
          <c:xVal>
            <c:numRef>
              <c:f>'Option portfolio'!$G$25:$G$55</c:f>
              <c:numCache>
                <c:formatCode>General</c:formatCode>
                <c:ptCount val="31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  <c:pt idx="15">
                  <c:v>100</c:v>
                </c:pt>
                <c:pt idx="16">
                  <c:v>101</c:v>
                </c:pt>
                <c:pt idx="17">
                  <c:v>102</c:v>
                </c:pt>
                <c:pt idx="18">
                  <c:v>103</c:v>
                </c:pt>
                <c:pt idx="19">
                  <c:v>104</c:v>
                </c:pt>
                <c:pt idx="20">
                  <c:v>105</c:v>
                </c:pt>
                <c:pt idx="21">
                  <c:v>106</c:v>
                </c:pt>
                <c:pt idx="22">
                  <c:v>107</c:v>
                </c:pt>
                <c:pt idx="23">
                  <c:v>108</c:v>
                </c:pt>
                <c:pt idx="24">
                  <c:v>109</c:v>
                </c:pt>
                <c:pt idx="25">
                  <c:v>110</c:v>
                </c:pt>
                <c:pt idx="26">
                  <c:v>111</c:v>
                </c:pt>
                <c:pt idx="27">
                  <c:v>112</c:v>
                </c:pt>
                <c:pt idx="28">
                  <c:v>113</c:v>
                </c:pt>
                <c:pt idx="29">
                  <c:v>114</c:v>
                </c:pt>
                <c:pt idx="30">
                  <c:v>115</c:v>
                </c:pt>
              </c:numCache>
            </c:numRef>
          </c:xVal>
          <c:yVal>
            <c:numRef>
              <c:f>'Option portfolio'!$O$25:$O$55</c:f>
              <c:numCache>
                <c:formatCode>0.00</c:formatCode>
                <c:ptCount val="31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1268456"/>
        <c:axId val="491268848"/>
      </c:scatterChart>
      <c:valAx>
        <c:axId val="491268456"/>
        <c:scaling>
          <c:orientation val="minMax"/>
          <c:max val="115"/>
          <c:min val="85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Stock</a:t>
                </a:r>
              </a:p>
            </c:rich>
          </c:tx>
          <c:layout>
            <c:manualLayout>
              <c:xMode val="edge"/>
              <c:yMode val="edge"/>
              <c:x val="0.51534774092833457"/>
              <c:y val="0.8571446689509540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1268848"/>
        <c:crosses val="autoZero"/>
        <c:crossBetween val="midCat"/>
      </c:valAx>
      <c:valAx>
        <c:axId val="49126884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Profit / Loss</a:t>
                </a:r>
              </a:p>
            </c:rich>
          </c:tx>
          <c:layout>
            <c:manualLayout>
              <c:xMode val="edge"/>
              <c:yMode val="edge"/>
              <c:x val="2.5848162554399229E-2"/>
              <c:y val="0.4112562805572759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126845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1.1308571117549663E-2"/>
          <c:y val="0.93290240484308384"/>
          <c:w val="0.97576813642857085"/>
          <c:h val="5.1948161754603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9525</xdr:rowOff>
    </xdr:from>
    <xdr:to>
      <xdr:col>5</xdr:col>
      <xdr:colOff>809625</xdr:colOff>
      <xdr:row>35</xdr:row>
      <xdr:rowOff>114300</xdr:rowOff>
    </xdr:to>
    <xdr:graphicFrame macro="">
      <xdr:nvGraphicFramePr>
        <xdr:cNvPr id="1047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133350</xdr:rowOff>
    </xdr:from>
    <xdr:to>
      <xdr:col>6</xdr:col>
      <xdr:colOff>9525</xdr:colOff>
      <xdr:row>42</xdr:row>
      <xdr:rowOff>76200</xdr:rowOff>
    </xdr:to>
    <xdr:graphicFrame macro="">
      <xdr:nvGraphicFramePr>
        <xdr:cNvPr id="3082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41</xdr:row>
      <xdr:rowOff>9525</xdr:rowOff>
    </xdr:from>
    <xdr:to>
      <xdr:col>5</xdr:col>
      <xdr:colOff>962025</xdr:colOff>
      <xdr:row>67</xdr:row>
      <xdr:rowOff>104775</xdr:rowOff>
    </xdr:to>
    <xdr:graphicFrame macro="">
      <xdr:nvGraphicFramePr>
        <xdr:cNvPr id="4109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26251</xdr:colOff>
      <xdr:row>56</xdr:row>
      <xdr:rowOff>55060</xdr:rowOff>
    </xdr:from>
    <xdr:to>
      <xdr:col>15</xdr:col>
      <xdr:colOff>35777</xdr:colOff>
      <xdr:row>83</xdr:row>
      <xdr:rowOff>83635</xdr:rowOff>
    </xdr:to>
    <xdr:graphicFrame macro="">
      <xdr:nvGraphicFramePr>
        <xdr:cNvPr id="4110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"/>
  <sheetViews>
    <sheetView tabSelected="1" zoomScale="125" workbookViewId="0">
      <selection activeCell="C22" sqref="C22"/>
    </sheetView>
  </sheetViews>
  <sheetFormatPr defaultColWidth="14.7109375" defaultRowHeight="12.75" x14ac:dyDescent="0.2"/>
  <sheetData>
    <row r="1" spans="1:14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37197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4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13.035714285714285</v>
      </c>
      <c r="J3" s="11"/>
      <c r="K3" s="11">
        <f>C5+0.001</f>
        <v>100.001</v>
      </c>
      <c r="L3" s="11">
        <f>(LN(K3/C6)+(I7-I9+C8^2/2)*C4)/(C8*C4^0.5)</f>
        <v>8.9826420958788303E-2</v>
      </c>
      <c r="M3" s="11">
        <f>EXP(-I9*C4)*NORMSDIST(L3)</f>
        <v>0.53578742391559142</v>
      </c>
      <c r="N3" s="12">
        <f>+(M3-1)*EXP(-I9*C4)</f>
        <v>-0.46421257608440858</v>
      </c>
    </row>
    <row r="4" spans="1:14" x14ac:dyDescent="0.2">
      <c r="A4" s="8" t="s">
        <v>12</v>
      </c>
      <c r="B4" s="14"/>
      <c r="C4" s="15">
        <f>+(C3-C2)/365</f>
        <v>7.6712328767123292E-2</v>
      </c>
      <c r="D4" s="11"/>
      <c r="E4" s="13" t="s">
        <v>13</v>
      </c>
      <c r="F4" s="16">
        <f>C5*EXP(-I9*C4)*NORMSDIST(I5)-C6*EXP(-I7*C4)*NORMSDIST(I5-C8*C4^0.5)</f>
        <v>4.7086471407540245</v>
      </c>
      <c r="G4" s="16">
        <f>+F4-C5*EXP(-I9*C4)+C6*EXP(-I7*C4)</f>
        <v>4.3350659865306653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4" x14ac:dyDescent="0.2">
      <c r="A5" s="8" t="s">
        <v>18</v>
      </c>
      <c r="B5" s="9"/>
      <c r="C5" s="17">
        <v>100</v>
      </c>
      <c r="D5" s="11"/>
      <c r="E5" s="13" t="s">
        <v>19</v>
      </c>
      <c r="F5" s="16">
        <f>EXP(-I9*C4)*NORMSDIST(I5)</f>
        <v>0.53575243414808993</v>
      </c>
      <c r="G5" s="16">
        <f>F5-EXP(-I9*C4)</f>
        <v>-0.46424756585191007</v>
      </c>
      <c r="H5" s="11"/>
      <c r="I5" s="11">
        <f>(LN(C5/C6)+(I7-I9+C8^2/2)*C4)/(C8*C4^0.5)</f>
        <v>8.9738360409848617E-2</v>
      </c>
      <c r="J5" s="11"/>
      <c r="K5" s="11">
        <f>+C8+0.0001</f>
        <v>0.41009999999999996</v>
      </c>
      <c r="L5" s="11">
        <f>(LN(C5/C6)+(I7-I9+K5^2/2)*C4)/(K5*C4^0.5)</f>
        <v>8.9744171955690899E-2</v>
      </c>
      <c r="M5" s="11">
        <f>C5*EXP(-I9*C4)*NORMSDIST(I5)-C6*EXP(-I7*C4)*NORMSDIST(I5-K5*C4^0.5)</f>
        <v>4.7097476503277989</v>
      </c>
      <c r="N5" s="12">
        <f>+M5-C5*EXP(-I9*C4)+C6*EXP(-I7*C4)</f>
        <v>4.3361664961044397</v>
      </c>
    </row>
    <row r="6" spans="1:14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3.4989767501492075E-2</v>
      </c>
      <c r="G6" s="18">
        <f>+(N3-G5)/0.001</f>
        <v>3.4989767501492075E-2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4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0.11005095737743886</v>
      </c>
      <c r="G7" s="18">
        <f>+(N5-G4)/0.01</f>
        <v>0.11005095737743886</v>
      </c>
      <c r="H7" s="11"/>
      <c r="I7" s="11">
        <f>LN(1+C7)</f>
        <v>4.8790164169432049E-2</v>
      </c>
      <c r="J7" s="19">
        <f>+C2+1</f>
        <v>37198</v>
      </c>
      <c r="K7" s="11">
        <f>+(C3-J7)/365</f>
        <v>7.3972602739726029E-2</v>
      </c>
      <c r="L7" s="11">
        <f>(LN(C5/C6)+(I7-I9+C8^2/2)*K7)/(C8*K7^0.5)</f>
        <v>8.8121320568434205E-2</v>
      </c>
      <c r="M7" s="11">
        <f>C5*EXP(-I9*K7)*NORMSDIST(I5)-C6*EXP(-I7*K7)*NORMSDIST(I5-C8*K7^0.5)</f>
        <v>4.6207962382862036</v>
      </c>
      <c r="N7" s="12">
        <f>+M7-C5*EXP(-I9*K7)+C6*EXP(-I7*K7)</f>
        <v>4.2605332052149549</v>
      </c>
    </row>
    <row r="8" spans="1:14" x14ac:dyDescent="0.2">
      <c r="A8" s="8" t="s">
        <v>27</v>
      </c>
      <c r="B8" s="9"/>
      <c r="C8" s="20">
        <v>0.41</v>
      </c>
      <c r="D8" s="11"/>
      <c r="E8" s="13" t="s">
        <v>28</v>
      </c>
      <c r="F8" s="18">
        <f>+M7-F4</f>
        <v>-8.7850902467820902E-2</v>
      </c>
      <c r="G8" s="18">
        <f>+N7-G4</f>
        <v>-7.4532781315710395E-2</v>
      </c>
      <c r="H8" s="11"/>
      <c r="I8" s="11" t="s">
        <v>29</v>
      </c>
      <c r="J8" s="11"/>
      <c r="K8" s="11"/>
      <c r="L8" s="11"/>
      <c r="M8" s="11"/>
      <c r="N8" s="12"/>
    </row>
    <row r="9" spans="1:14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4" ht="13.5" thickTop="1" x14ac:dyDescent="0.2"/>
  </sheetData>
  <phoneticPr fontId="0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45"/>
  <sheetViews>
    <sheetView workbookViewId="0">
      <selection activeCell="K36" sqref="K36"/>
    </sheetView>
  </sheetViews>
  <sheetFormatPr defaultColWidth="14.7109375" defaultRowHeight="12.75" x14ac:dyDescent="0.2"/>
  <sheetData>
    <row r="1" spans="1:17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7" x14ac:dyDescent="0.2">
      <c r="A2" s="8" t="s">
        <v>3</v>
      </c>
      <c r="B2" s="9"/>
      <c r="C2" s="10">
        <v>37197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7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13.035714285714285</v>
      </c>
      <c r="J3" s="11"/>
      <c r="K3" s="11">
        <f>C5+0.001</f>
        <v>100.001</v>
      </c>
      <c r="L3" s="11">
        <f>(LN(K3/C6)+(I7-I9+C8^2/2)*C4)/(C8*C4^0.5)</f>
        <v>8.9826420958788303E-2</v>
      </c>
      <c r="M3" s="11">
        <f>EXP(-I9*C4)*NORMSDIST(L3)</f>
        <v>0.53578742391559142</v>
      </c>
      <c r="N3" s="12">
        <f>+(M3-1)*EXP(-I9*C4)</f>
        <v>-0.46421257608440858</v>
      </c>
    </row>
    <row r="4" spans="1:17" x14ac:dyDescent="0.2">
      <c r="A4" s="8" t="s">
        <v>12</v>
      </c>
      <c r="B4" s="14"/>
      <c r="C4" s="15">
        <f>+(C3-C2)/365</f>
        <v>7.6712328767123292E-2</v>
      </c>
      <c r="D4" s="11"/>
      <c r="E4" s="13" t="s">
        <v>13</v>
      </c>
      <c r="F4" s="16">
        <f>C5*EXP(-I9*C4)*NORMSDIST(I5)-C6*EXP(-I7*C4)*NORMSDIST(I5-C8*C4^0.5)</f>
        <v>4.7086471407540245</v>
      </c>
      <c r="G4" s="16">
        <f>+F4-C5*EXP(-I9*C4)+C6*EXP(-I7*C4)</f>
        <v>4.3350659865306653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7" x14ac:dyDescent="0.2">
      <c r="A5" s="8" t="s">
        <v>18</v>
      </c>
      <c r="B5" s="9"/>
      <c r="C5" s="17">
        <v>100</v>
      </c>
      <c r="D5" s="11"/>
      <c r="E5" s="13" t="s">
        <v>19</v>
      </c>
      <c r="F5" s="16">
        <f>EXP(-I9*C4)*NORMSDIST(I5)</f>
        <v>0.53575243414808993</v>
      </c>
      <c r="G5" s="16">
        <f>F5-EXP(-I9*C4)</f>
        <v>-0.46424756585191007</v>
      </c>
      <c r="H5" s="11"/>
      <c r="I5" s="11">
        <f>(LN(C5/C6)+(I7-I9+C8^2/2)*C4)/(C8*C4^0.5)</f>
        <v>8.9738360409848617E-2</v>
      </c>
      <c r="J5" s="11"/>
      <c r="K5" s="11">
        <f>+C8+0.0001</f>
        <v>0.41009999999999996</v>
      </c>
      <c r="L5" s="11">
        <f>(LN(C5/C6)+(I7-I9+K5^2/2)*C4)/(K5*C4^0.5)</f>
        <v>8.9744171955690899E-2</v>
      </c>
      <c r="M5" s="11">
        <f>C5*EXP(-I9*C4)*NORMSDIST(I5)-C6*EXP(-I7*C4)*NORMSDIST(I5-K5*C4^0.5)</f>
        <v>4.7097476503277989</v>
      </c>
      <c r="N5" s="12">
        <f>+M5-C5*EXP(-I9*C4)+C6*EXP(-I7*C4)</f>
        <v>4.3361664961044397</v>
      </c>
    </row>
    <row r="6" spans="1:17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3.4989767501492075E-2</v>
      </c>
      <c r="G6" s="18">
        <f>+(N3-G5)/0.001</f>
        <v>3.4989767501492075E-2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7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0.11005095737743886</v>
      </c>
      <c r="G7" s="18">
        <f>+(N5-G4)/0.01</f>
        <v>0.11005095737743886</v>
      </c>
      <c r="H7" s="11"/>
      <c r="I7" s="11">
        <f>LN(1+C7)</f>
        <v>4.8790164169432049E-2</v>
      </c>
      <c r="J7" s="19">
        <f>+C2+1</f>
        <v>37198</v>
      </c>
      <c r="K7" s="11">
        <f>+(C3-J7)/365</f>
        <v>7.3972602739726029E-2</v>
      </c>
      <c r="L7" s="11">
        <f>(LN(C5/C6)+(I7-I9+C8^2/2)*K7)/(C8*K7^0.5)</f>
        <v>8.8121320568434205E-2</v>
      </c>
      <c r="M7" s="11">
        <f>C5*EXP(-I9*K7)*NORMSDIST(I5)-C6*EXP(-I7*K7)*NORMSDIST(I5-C8*K7^0.5)</f>
        <v>4.6207962382862036</v>
      </c>
      <c r="N7" s="12">
        <f>+M7-C5*EXP(-I9*K7)+C6*EXP(-I7*K7)</f>
        <v>4.2605332052149549</v>
      </c>
    </row>
    <row r="8" spans="1:17" x14ac:dyDescent="0.2">
      <c r="A8" s="8" t="s">
        <v>27</v>
      </c>
      <c r="B8" s="9"/>
      <c r="C8" s="20">
        <v>0.41</v>
      </c>
      <c r="D8" s="11"/>
      <c r="E8" s="13" t="s">
        <v>28</v>
      </c>
      <c r="F8" s="18">
        <f>+M7-F4</f>
        <v>-8.7850902467820902E-2</v>
      </c>
      <c r="G8" s="18">
        <f>+N7-G4</f>
        <v>-7.4532781315710395E-2</v>
      </c>
      <c r="H8" s="11"/>
      <c r="I8" s="11" t="s">
        <v>29</v>
      </c>
      <c r="J8" s="11"/>
      <c r="K8" s="11"/>
      <c r="L8" s="11"/>
      <c r="M8" s="11"/>
      <c r="N8" s="12"/>
    </row>
    <row r="9" spans="1:17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7" ht="13.5" thickTop="1" x14ac:dyDescent="0.2"/>
    <row r="12" spans="1:17" x14ac:dyDescent="0.2">
      <c r="G12" t="s">
        <v>31</v>
      </c>
      <c r="H12" t="s">
        <v>61</v>
      </c>
      <c r="I12" t="s">
        <v>64</v>
      </c>
      <c r="J12" t="s">
        <v>35</v>
      </c>
      <c r="K12" t="s">
        <v>36</v>
      </c>
    </row>
    <row r="14" spans="1:17" x14ac:dyDescent="0.2">
      <c r="G14" s="26"/>
      <c r="H14" s="26"/>
      <c r="I14" s="26"/>
      <c r="J14" s="50"/>
      <c r="K14" s="50"/>
      <c r="O14" s="27"/>
      <c r="P14" s="27"/>
      <c r="Q14" s="27"/>
    </row>
    <row r="15" spans="1:17" x14ac:dyDescent="0.2">
      <c r="C15" s="26"/>
      <c r="G15">
        <v>85</v>
      </c>
      <c r="H15" s="40"/>
      <c r="I15" s="40"/>
    </row>
    <row r="16" spans="1:17" x14ac:dyDescent="0.2">
      <c r="C16" s="26"/>
      <c r="G16">
        <v>86</v>
      </c>
      <c r="H16" s="40"/>
      <c r="I16" s="40"/>
    </row>
    <row r="17" spans="2:9" x14ac:dyDescent="0.2">
      <c r="H17" s="40"/>
      <c r="I17" s="40"/>
    </row>
    <row r="18" spans="2:9" x14ac:dyDescent="0.2">
      <c r="H18" s="40"/>
      <c r="I18" s="40"/>
    </row>
    <row r="19" spans="2:9" x14ac:dyDescent="0.2">
      <c r="H19" s="40"/>
      <c r="I19" s="40"/>
    </row>
    <row r="20" spans="2:9" x14ac:dyDescent="0.2">
      <c r="H20" s="40"/>
      <c r="I20" s="40"/>
    </row>
    <row r="21" spans="2:9" x14ac:dyDescent="0.2">
      <c r="H21" s="40"/>
      <c r="I21" s="40"/>
    </row>
    <row r="22" spans="2:9" x14ac:dyDescent="0.2">
      <c r="H22" s="40"/>
      <c r="I22" s="40"/>
    </row>
    <row r="23" spans="2:9" x14ac:dyDescent="0.2">
      <c r="B23" s="26"/>
      <c r="H23" s="40"/>
      <c r="I23" s="40"/>
    </row>
    <row r="24" spans="2:9" x14ac:dyDescent="0.2">
      <c r="B24" s="26"/>
      <c r="H24" s="40"/>
      <c r="I24" s="40"/>
    </row>
    <row r="25" spans="2:9" x14ac:dyDescent="0.2">
      <c r="H25" s="40"/>
      <c r="I25" s="40"/>
    </row>
    <row r="26" spans="2:9" x14ac:dyDescent="0.2">
      <c r="H26" s="40"/>
      <c r="I26" s="40"/>
    </row>
    <row r="27" spans="2:9" x14ac:dyDescent="0.2">
      <c r="H27" s="40"/>
      <c r="I27" s="40"/>
    </row>
    <row r="28" spans="2:9" x14ac:dyDescent="0.2">
      <c r="H28" s="40"/>
      <c r="I28" s="40"/>
    </row>
    <row r="29" spans="2:9" x14ac:dyDescent="0.2">
      <c r="H29" s="40"/>
      <c r="I29" s="40"/>
    </row>
    <row r="30" spans="2:9" x14ac:dyDescent="0.2">
      <c r="H30" s="40"/>
      <c r="I30" s="40"/>
    </row>
    <row r="31" spans="2:9" x14ac:dyDescent="0.2">
      <c r="H31" s="40"/>
      <c r="I31" s="40"/>
    </row>
    <row r="32" spans="2:9" x14ac:dyDescent="0.2">
      <c r="H32" s="40"/>
      <c r="I32" s="40"/>
    </row>
    <row r="33" spans="8:9" x14ac:dyDescent="0.2">
      <c r="H33" s="40"/>
      <c r="I33" s="40"/>
    </row>
    <row r="34" spans="8:9" x14ac:dyDescent="0.2">
      <c r="H34" s="40"/>
      <c r="I34" s="40"/>
    </row>
    <row r="35" spans="8:9" x14ac:dyDescent="0.2">
      <c r="H35" s="40"/>
      <c r="I35" s="40"/>
    </row>
    <row r="36" spans="8:9" x14ac:dyDescent="0.2">
      <c r="H36" s="40"/>
      <c r="I36" s="40"/>
    </row>
    <row r="37" spans="8:9" x14ac:dyDescent="0.2">
      <c r="H37" s="40"/>
      <c r="I37" s="40"/>
    </row>
    <row r="38" spans="8:9" x14ac:dyDescent="0.2">
      <c r="H38" s="40"/>
      <c r="I38" s="40"/>
    </row>
    <row r="39" spans="8:9" x14ac:dyDescent="0.2">
      <c r="H39" s="40"/>
      <c r="I39" s="40"/>
    </row>
    <row r="40" spans="8:9" x14ac:dyDescent="0.2">
      <c r="H40" s="40"/>
      <c r="I40" s="40"/>
    </row>
    <row r="41" spans="8:9" x14ac:dyDescent="0.2">
      <c r="H41" s="40"/>
      <c r="I41" s="40"/>
    </row>
    <row r="42" spans="8:9" x14ac:dyDescent="0.2">
      <c r="H42" s="40"/>
      <c r="I42" s="40"/>
    </row>
    <row r="43" spans="8:9" x14ac:dyDescent="0.2">
      <c r="H43" s="40"/>
      <c r="I43" s="40"/>
    </row>
    <row r="44" spans="8:9" x14ac:dyDescent="0.2">
      <c r="H44" s="40"/>
      <c r="I44" s="40"/>
    </row>
    <row r="45" spans="8:9" x14ac:dyDescent="0.2">
      <c r="H45" s="40"/>
      <c r="I45" s="40"/>
    </row>
  </sheetData>
  <phoneticPr fontId="0" type="noConversion"/>
  <pageMargins left="0.75" right="0.75" top="1" bottom="1" header="0.5" footer="0.5"/>
  <headerFooter alignWithMargins="0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5"/>
  <sheetViews>
    <sheetView workbookViewId="0">
      <selection activeCell="G15" sqref="G15"/>
    </sheetView>
  </sheetViews>
  <sheetFormatPr defaultColWidth="14.7109375" defaultRowHeight="12.75" x14ac:dyDescent="0.2"/>
  <sheetData>
    <row r="1" spans="1:14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37196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4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12.586206896551722</v>
      </c>
      <c r="J3" s="11"/>
      <c r="K3" s="11">
        <f>C5+0.001</f>
        <v>100.001</v>
      </c>
      <c r="L3" s="11">
        <f>(LN(K3/C6)+(I7-I9+C8^2/2)*C4)/(C8*C4^0.5)</f>
        <v>9.0844676650841158E-2</v>
      </c>
      <c r="M3" s="11">
        <f>EXP(-I9*C4)*NORMSDIST(L3)</f>
        <v>0.53619199502012005</v>
      </c>
      <c r="N3" s="12">
        <f>+(M3-1)*EXP(-I9*C4)</f>
        <v>-0.46380800497987995</v>
      </c>
    </row>
    <row r="4" spans="1:14" x14ac:dyDescent="0.2">
      <c r="A4" s="8" t="s">
        <v>12</v>
      </c>
      <c r="B4" s="14"/>
      <c r="C4" s="15">
        <f>+(C3-C2)/365</f>
        <v>7.9452054794520555E-2</v>
      </c>
      <c r="D4" s="11"/>
      <c r="E4" s="13" t="s">
        <v>13</v>
      </c>
      <c r="F4" s="16">
        <f>C5*EXP(-I9*C4)*NORMSDIST(I5)-C6*EXP(-I7*C4)*NORMSDIST(I5-C8*C4^0.5)</f>
        <v>4.6830523561386812</v>
      </c>
      <c r="G4" s="16">
        <f>+F4-C5*EXP(-I9*C4)+C6*EXP(-I7*C4)</f>
        <v>4.2961548608999038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4" x14ac:dyDescent="0.2">
      <c r="A5" s="8" t="s">
        <v>18</v>
      </c>
      <c r="B5" s="9"/>
      <c r="C5" s="17">
        <v>100</v>
      </c>
      <c r="D5" s="11"/>
      <c r="E5" s="13" t="s">
        <v>19</v>
      </c>
      <c r="F5" s="16">
        <f>EXP(-I9*C4)*NORMSDIST(I5)</f>
        <v>0.53615675752552172</v>
      </c>
      <c r="G5" s="16">
        <f>F5-EXP(-I9*C4)</f>
        <v>-0.46384324247447828</v>
      </c>
      <c r="H5" s="11"/>
      <c r="I5" s="11">
        <f>(LN(C5/C6)+(I7-I9+C8^2/2)*C4)/(C8*C4^0.5)</f>
        <v>9.0755984482937924E-2</v>
      </c>
      <c r="J5" s="11"/>
      <c r="K5" s="11">
        <f>+C8+0.0001</f>
        <v>0.40010000000000001</v>
      </c>
      <c r="L5" s="11">
        <f>(LN(C5/C6)+(I7-I9+K5^2/2)*C4)/(K5*C4^0.5)</f>
        <v>9.0761484875995488E-2</v>
      </c>
      <c r="M5" s="11">
        <f>C5*EXP(-I9*C4)*NORMSDIST(I5)-C6*EXP(-I7*C4)*NORMSDIST(I5-K5*C4^0.5)</f>
        <v>4.68417224244007</v>
      </c>
      <c r="N5" s="12">
        <f>+M5-C5*EXP(-I9*C4)+C6*EXP(-I7*C4)</f>
        <v>4.2972747472012855</v>
      </c>
    </row>
    <row r="6" spans="1:14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3.5237494598328034E-2</v>
      </c>
      <c r="G6" s="18">
        <f>+(N3-G5)/0.001</f>
        <v>3.5237494598328034E-2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4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0.11198863013888172</v>
      </c>
      <c r="G7" s="18">
        <f>+(N5-G4)/0.01</f>
        <v>0.11198863013817117</v>
      </c>
      <c r="H7" s="11"/>
      <c r="I7" s="11">
        <f>LN(1+C7)</f>
        <v>4.8790164169432049E-2</v>
      </c>
      <c r="J7" s="19">
        <f>+C2+1</f>
        <v>37197</v>
      </c>
      <c r="K7" s="11">
        <f>+(C3-J7)/365</f>
        <v>7.6712328767123292E-2</v>
      </c>
      <c r="L7" s="11">
        <f>(LN(C5/C6)+(I7-I9+C8^2/2)*K7)/(C8*K7^0.5)</f>
        <v>8.9177499122987683E-2</v>
      </c>
      <c r="M7" s="11">
        <f>C5*EXP(-I9*K7)*NORMSDIST(I5)-C6*EXP(-I7*K7)*NORMSDIST(I5-C8*K7^0.5)</f>
        <v>4.5985878657505239</v>
      </c>
      <c r="N7" s="12">
        <f>+M7-C5*EXP(-I9*K7)+C6*EXP(-I7*K7)</f>
        <v>4.2250067115271577</v>
      </c>
    </row>
    <row r="8" spans="1:14" x14ac:dyDescent="0.2">
      <c r="A8" s="8" t="s">
        <v>27</v>
      </c>
      <c r="B8" s="9"/>
      <c r="C8" s="20">
        <v>0.4</v>
      </c>
      <c r="D8" s="11"/>
      <c r="E8" s="13" t="s">
        <v>28</v>
      </c>
      <c r="F8" s="18">
        <f>+M7-F4</f>
        <v>-8.4464490388157287E-2</v>
      </c>
      <c r="G8" s="18">
        <f>+N7-G4</f>
        <v>-7.1148149372746161E-2</v>
      </c>
      <c r="H8" s="11"/>
      <c r="I8" s="11" t="s">
        <v>29</v>
      </c>
      <c r="J8" s="11"/>
      <c r="K8" s="11"/>
      <c r="L8" s="11"/>
      <c r="M8" s="11"/>
      <c r="N8" s="12"/>
    </row>
    <row r="9" spans="1:14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4" ht="13.5" thickTop="1" x14ac:dyDescent="0.2"/>
    <row r="11" spans="1:14" x14ac:dyDescent="0.2">
      <c r="L11" t="s">
        <v>58</v>
      </c>
    </row>
    <row r="12" spans="1:14" x14ac:dyDescent="0.2">
      <c r="G12" t="s">
        <v>31</v>
      </c>
      <c r="H12" s="27">
        <v>37196</v>
      </c>
      <c r="I12" s="27">
        <v>37205</v>
      </c>
      <c r="J12" s="27">
        <v>37215</v>
      </c>
      <c r="K12" s="27">
        <v>37224</v>
      </c>
    </row>
    <row r="14" spans="1:14" x14ac:dyDescent="0.2">
      <c r="G14" s="26"/>
      <c r="H14" s="27"/>
      <c r="I14" s="27"/>
      <c r="J14" s="27"/>
      <c r="K14" s="27"/>
      <c r="L14" t="s">
        <v>58</v>
      </c>
    </row>
    <row r="15" spans="1:14" x14ac:dyDescent="0.2">
      <c r="G15">
        <v>85</v>
      </c>
      <c r="H15" s="40"/>
      <c r="I15" s="40"/>
      <c r="J15" s="40"/>
      <c r="K15" s="40"/>
      <c r="L15">
        <f>MAX(0,G15-$C$5)</f>
        <v>0</v>
      </c>
    </row>
    <row r="16" spans="1:14" x14ac:dyDescent="0.2">
      <c r="G16">
        <v>86</v>
      </c>
      <c r="H16" s="40"/>
      <c r="I16" s="40"/>
      <c r="J16" s="40"/>
      <c r="K16" s="40"/>
      <c r="L16">
        <f t="shared" ref="L16:L45" si="0">MAX(0,G16-$C$5)</f>
        <v>0</v>
      </c>
    </row>
    <row r="17" spans="8:12" x14ac:dyDescent="0.2">
      <c r="H17" s="40"/>
      <c r="I17" s="40"/>
      <c r="J17" s="40"/>
      <c r="K17" s="40"/>
      <c r="L17">
        <f t="shared" si="0"/>
        <v>0</v>
      </c>
    </row>
    <row r="18" spans="8:12" x14ac:dyDescent="0.2">
      <c r="H18" s="40"/>
      <c r="I18" s="40"/>
      <c r="J18" s="40"/>
      <c r="K18" s="40"/>
      <c r="L18">
        <f t="shared" si="0"/>
        <v>0</v>
      </c>
    </row>
    <row r="19" spans="8:12" x14ac:dyDescent="0.2">
      <c r="H19" s="40"/>
      <c r="I19" s="40"/>
      <c r="J19" s="40"/>
      <c r="K19" s="40"/>
      <c r="L19">
        <f t="shared" si="0"/>
        <v>0</v>
      </c>
    </row>
    <row r="20" spans="8:12" x14ac:dyDescent="0.2">
      <c r="H20" s="40"/>
      <c r="I20" s="40"/>
      <c r="J20" s="40"/>
      <c r="K20" s="40"/>
      <c r="L20">
        <f t="shared" si="0"/>
        <v>0</v>
      </c>
    </row>
    <row r="21" spans="8:12" x14ac:dyDescent="0.2">
      <c r="H21" s="40"/>
      <c r="I21" s="40"/>
      <c r="J21" s="40"/>
      <c r="K21" s="40"/>
      <c r="L21">
        <f t="shared" si="0"/>
        <v>0</v>
      </c>
    </row>
    <row r="22" spans="8:12" x14ac:dyDescent="0.2">
      <c r="H22" s="40"/>
      <c r="I22" s="40"/>
      <c r="J22" s="40"/>
      <c r="K22" s="40"/>
      <c r="L22">
        <f t="shared" si="0"/>
        <v>0</v>
      </c>
    </row>
    <row r="23" spans="8:12" x14ac:dyDescent="0.2">
      <c r="H23" s="40"/>
      <c r="I23" s="40"/>
      <c r="J23" s="40"/>
      <c r="K23" s="40"/>
      <c r="L23">
        <f t="shared" si="0"/>
        <v>0</v>
      </c>
    </row>
    <row r="24" spans="8:12" x14ac:dyDescent="0.2">
      <c r="H24" s="40"/>
      <c r="I24" s="40"/>
      <c r="J24" s="40"/>
      <c r="K24" s="40"/>
      <c r="L24">
        <f t="shared" si="0"/>
        <v>0</v>
      </c>
    </row>
    <row r="25" spans="8:12" x14ac:dyDescent="0.2">
      <c r="H25" s="40"/>
      <c r="I25" s="40"/>
      <c r="J25" s="40"/>
      <c r="K25" s="40"/>
      <c r="L25">
        <f t="shared" si="0"/>
        <v>0</v>
      </c>
    </row>
    <row r="26" spans="8:12" x14ac:dyDescent="0.2">
      <c r="H26" s="40"/>
      <c r="I26" s="40"/>
      <c r="J26" s="40"/>
      <c r="K26" s="40"/>
      <c r="L26">
        <f t="shared" si="0"/>
        <v>0</v>
      </c>
    </row>
    <row r="27" spans="8:12" x14ac:dyDescent="0.2">
      <c r="H27" s="40"/>
      <c r="I27" s="40"/>
      <c r="J27" s="40"/>
      <c r="K27" s="40"/>
      <c r="L27">
        <f t="shared" si="0"/>
        <v>0</v>
      </c>
    </row>
    <row r="28" spans="8:12" x14ac:dyDescent="0.2">
      <c r="H28" s="40"/>
      <c r="I28" s="40"/>
      <c r="J28" s="40"/>
      <c r="K28" s="40"/>
      <c r="L28">
        <f t="shared" si="0"/>
        <v>0</v>
      </c>
    </row>
    <row r="29" spans="8:12" x14ac:dyDescent="0.2">
      <c r="H29" s="40"/>
      <c r="I29" s="40"/>
      <c r="J29" s="40"/>
      <c r="K29" s="40"/>
      <c r="L29">
        <f t="shared" si="0"/>
        <v>0</v>
      </c>
    </row>
    <row r="30" spans="8:12" x14ac:dyDescent="0.2">
      <c r="H30" s="40"/>
      <c r="I30" s="40"/>
      <c r="J30" s="40"/>
      <c r="K30" s="40"/>
      <c r="L30">
        <f t="shared" si="0"/>
        <v>0</v>
      </c>
    </row>
    <row r="31" spans="8:12" x14ac:dyDescent="0.2">
      <c r="H31" s="40"/>
      <c r="I31" s="40"/>
      <c r="J31" s="40"/>
      <c r="K31" s="40"/>
      <c r="L31">
        <f t="shared" si="0"/>
        <v>0</v>
      </c>
    </row>
    <row r="32" spans="8:12" x14ac:dyDescent="0.2">
      <c r="H32" s="40"/>
      <c r="I32" s="40"/>
      <c r="J32" s="40"/>
      <c r="K32" s="40"/>
      <c r="L32">
        <f t="shared" si="0"/>
        <v>0</v>
      </c>
    </row>
    <row r="33" spans="8:12" x14ac:dyDescent="0.2">
      <c r="H33" s="40"/>
      <c r="I33" s="40"/>
      <c r="J33" s="40"/>
      <c r="K33" s="40"/>
      <c r="L33">
        <f t="shared" si="0"/>
        <v>0</v>
      </c>
    </row>
    <row r="34" spans="8:12" x14ac:dyDescent="0.2">
      <c r="H34" s="40"/>
      <c r="I34" s="40"/>
      <c r="J34" s="40"/>
      <c r="K34" s="40"/>
      <c r="L34">
        <f t="shared" si="0"/>
        <v>0</v>
      </c>
    </row>
    <row r="35" spans="8:12" x14ac:dyDescent="0.2">
      <c r="H35" s="40"/>
      <c r="I35" s="40"/>
      <c r="J35" s="40"/>
      <c r="K35" s="40"/>
      <c r="L35">
        <f t="shared" si="0"/>
        <v>0</v>
      </c>
    </row>
    <row r="36" spans="8:12" x14ac:dyDescent="0.2">
      <c r="H36" s="40"/>
      <c r="I36" s="40"/>
      <c r="J36" s="40"/>
      <c r="K36" s="40"/>
      <c r="L36">
        <f t="shared" si="0"/>
        <v>0</v>
      </c>
    </row>
    <row r="37" spans="8:12" x14ac:dyDescent="0.2">
      <c r="H37" s="40"/>
      <c r="I37" s="40"/>
      <c r="J37" s="40"/>
      <c r="K37" s="40"/>
      <c r="L37">
        <f t="shared" si="0"/>
        <v>0</v>
      </c>
    </row>
    <row r="38" spans="8:12" x14ac:dyDescent="0.2">
      <c r="H38" s="40"/>
      <c r="I38" s="40"/>
      <c r="J38" s="40"/>
      <c r="K38" s="40"/>
      <c r="L38">
        <f t="shared" si="0"/>
        <v>0</v>
      </c>
    </row>
    <row r="39" spans="8:12" x14ac:dyDescent="0.2">
      <c r="H39" s="40"/>
      <c r="I39" s="40"/>
      <c r="J39" s="40"/>
      <c r="K39" s="40"/>
      <c r="L39">
        <f t="shared" si="0"/>
        <v>0</v>
      </c>
    </row>
    <row r="40" spans="8:12" x14ac:dyDescent="0.2">
      <c r="H40" s="40"/>
      <c r="I40" s="40"/>
      <c r="J40" s="40"/>
      <c r="K40" s="40"/>
      <c r="L40">
        <f t="shared" si="0"/>
        <v>0</v>
      </c>
    </row>
    <row r="41" spans="8:12" x14ac:dyDescent="0.2">
      <c r="H41" s="40"/>
      <c r="I41" s="40"/>
      <c r="J41" s="40"/>
      <c r="K41" s="40"/>
      <c r="L41">
        <f t="shared" si="0"/>
        <v>0</v>
      </c>
    </row>
    <row r="42" spans="8:12" x14ac:dyDescent="0.2">
      <c r="H42" s="40"/>
      <c r="I42" s="40"/>
      <c r="J42" s="40"/>
      <c r="K42" s="40"/>
      <c r="L42">
        <f t="shared" si="0"/>
        <v>0</v>
      </c>
    </row>
    <row r="43" spans="8:12" x14ac:dyDescent="0.2">
      <c r="H43" s="40"/>
      <c r="I43" s="40"/>
      <c r="J43" s="40"/>
      <c r="K43" s="40"/>
      <c r="L43">
        <f t="shared" si="0"/>
        <v>0</v>
      </c>
    </row>
    <row r="44" spans="8:12" x14ac:dyDescent="0.2">
      <c r="H44" s="40"/>
      <c r="I44" s="40"/>
      <c r="J44" s="40"/>
      <c r="K44" s="40"/>
      <c r="L44">
        <f t="shared" si="0"/>
        <v>0</v>
      </c>
    </row>
    <row r="45" spans="8:12" x14ac:dyDescent="0.2">
      <c r="H45" s="40"/>
      <c r="I45" s="40"/>
      <c r="J45" s="40"/>
      <c r="K45" s="40"/>
      <c r="L45">
        <f t="shared" si="0"/>
        <v>0</v>
      </c>
    </row>
  </sheetData>
  <phoneticPr fontId="0" type="noConversion"/>
  <pageMargins left="0.75" right="0.75" top="1" bottom="1" header="0.5" footer="0.5"/>
  <headerFooter alignWithMargins="0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55"/>
  <sheetViews>
    <sheetView zoomScale="82" zoomScaleNormal="82" workbookViewId="0">
      <selection activeCell="G67" sqref="G67"/>
    </sheetView>
  </sheetViews>
  <sheetFormatPr defaultColWidth="14.7109375" defaultRowHeight="12.75" x14ac:dyDescent="0.2"/>
  <cols>
    <col min="1" max="1" width="18" style="33" customWidth="1"/>
    <col min="2" max="16384" width="14.7109375" style="33"/>
  </cols>
  <sheetData>
    <row r="1" spans="1:14" ht="13.5" thickTop="1" x14ac:dyDescent="0.2">
      <c r="A1" s="28" t="s">
        <v>0</v>
      </c>
      <c r="B1" s="29"/>
      <c r="C1" s="30"/>
      <c r="D1" s="31"/>
      <c r="E1" s="32" t="s">
        <v>1</v>
      </c>
      <c r="F1" s="30"/>
      <c r="G1" s="30"/>
      <c r="H1" s="31"/>
      <c r="I1" s="32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37196</v>
      </c>
      <c r="D2" s="34"/>
      <c r="E2" s="34"/>
      <c r="F2" s="34"/>
      <c r="G2" s="34"/>
      <c r="H2" s="34"/>
      <c r="I2" s="34" t="s">
        <v>4</v>
      </c>
      <c r="J2" s="34"/>
      <c r="K2" s="34" t="s">
        <v>5</v>
      </c>
      <c r="L2" s="34" t="s">
        <v>6</v>
      </c>
      <c r="M2" s="34" t="s">
        <v>7</v>
      </c>
      <c r="N2" s="35" t="s">
        <v>8</v>
      </c>
    </row>
    <row r="3" spans="1:14" x14ac:dyDescent="0.2">
      <c r="A3" s="8" t="s">
        <v>9</v>
      </c>
      <c r="B3" s="9"/>
      <c r="C3" s="10">
        <v>37225</v>
      </c>
      <c r="D3" s="34"/>
      <c r="E3" s="13"/>
      <c r="F3" s="13" t="s">
        <v>10</v>
      </c>
      <c r="G3" s="13" t="s">
        <v>11</v>
      </c>
      <c r="H3" s="34"/>
      <c r="I3" s="34">
        <f>1/C4</f>
        <v>12.586206896551722</v>
      </c>
      <c r="J3" s="34"/>
      <c r="K3" s="34">
        <f>C5+0.001</f>
        <v>100.001</v>
      </c>
      <c r="L3" s="34">
        <f>(LN(K3/C6)+(I7-I9+C8^2/2)*C4)/(C8*C4^0.5)</f>
        <v>9.0844676650841158E-2</v>
      </c>
      <c r="M3" s="34">
        <f>EXP(-I9*C4)*NORMSDIST(L3)</f>
        <v>0.53619199502012005</v>
      </c>
      <c r="N3" s="35">
        <f>+(M3-1)*EXP(-I9*C4)</f>
        <v>-0.46380800497987995</v>
      </c>
    </row>
    <row r="4" spans="1:14" x14ac:dyDescent="0.2">
      <c r="A4" s="8" t="s">
        <v>12</v>
      </c>
      <c r="B4" s="36"/>
      <c r="C4" s="15">
        <f>+(C3-C2)/365</f>
        <v>7.9452054794520555E-2</v>
      </c>
      <c r="D4" s="34"/>
      <c r="E4" s="13" t="s">
        <v>13</v>
      </c>
      <c r="F4" s="16">
        <f>C5*EXP(-I9*C4)*NORMSDIST(I5)-C6*EXP(-I7*C4)*NORMSDIST(I5-C8*C4^0.5)</f>
        <v>4.6830523561386812</v>
      </c>
      <c r="G4" s="16">
        <f>+F4-C5*EXP(-I9*C4)+C6*EXP(-I7*C4)</f>
        <v>4.2961548608999038</v>
      </c>
      <c r="H4" s="34"/>
      <c r="I4" s="34" t="s">
        <v>14</v>
      </c>
      <c r="J4" s="34"/>
      <c r="K4" s="34" t="s">
        <v>15</v>
      </c>
      <c r="L4" s="34"/>
      <c r="M4" s="34" t="s">
        <v>16</v>
      </c>
      <c r="N4" s="35" t="s">
        <v>17</v>
      </c>
    </row>
    <row r="5" spans="1:14" x14ac:dyDescent="0.2">
      <c r="A5" s="8" t="s">
        <v>18</v>
      </c>
      <c r="B5" s="9"/>
      <c r="C5" s="17">
        <v>100</v>
      </c>
      <c r="D5" s="34"/>
      <c r="E5" s="13" t="s">
        <v>19</v>
      </c>
      <c r="F5" s="16">
        <f>EXP(-I9*C4)*NORMSDIST(I5)</f>
        <v>0.53615675752552172</v>
      </c>
      <c r="G5" s="16">
        <f>F5-EXP(-I9*C4)</f>
        <v>-0.46384324247447828</v>
      </c>
      <c r="H5" s="34"/>
      <c r="I5" s="34">
        <f>(LN(C5/C6)+(I7-I9+C8^2/2)*C4)/(C8*C4^0.5)</f>
        <v>9.0755984482937924E-2</v>
      </c>
      <c r="J5" s="34"/>
      <c r="K5" s="34">
        <f>+C8+0.0001</f>
        <v>0.40010000000000001</v>
      </c>
      <c r="L5" s="34">
        <f>(LN(C5/C6)+(I7-I9+K5^2/2)*C4)/(K5*C4^0.5)</f>
        <v>9.0761484875995488E-2</v>
      </c>
      <c r="M5" s="34">
        <f>C5*EXP(-I9*C4)*NORMSDIST(I5)-C6*EXP(-I7*C4)*NORMSDIST(I5-K5*C4^0.5)</f>
        <v>4.68417224244007</v>
      </c>
      <c r="N5" s="35">
        <f>+M5-C5*EXP(-I9*C4)+C6*EXP(-I7*C4)</f>
        <v>4.2972747472012855</v>
      </c>
    </row>
    <row r="6" spans="1:14" x14ac:dyDescent="0.2">
      <c r="A6" s="8" t="s">
        <v>20</v>
      </c>
      <c r="B6" s="9"/>
      <c r="C6" s="15">
        <v>100</v>
      </c>
      <c r="D6" s="34"/>
      <c r="E6" s="13" t="s">
        <v>21</v>
      </c>
      <c r="F6" s="18">
        <f>+(M3-F5)/0.001</f>
        <v>3.5237494598328034E-2</v>
      </c>
      <c r="G6" s="18">
        <f>+(N3-G5)/0.001</f>
        <v>3.5237494598328034E-2</v>
      </c>
      <c r="H6" s="34"/>
      <c r="I6" s="34" t="s">
        <v>22</v>
      </c>
      <c r="J6" s="34" t="s">
        <v>23</v>
      </c>
      <c r="K6" s="34" t="s">
        <v>24</v>
      </c>
      <c r="L6" s="34"/>
      <c r="M6" s="34"/>
      <c r="N6" s="35"/>
    </row>
    <row r="7" spans="1:14" x14ac:dyDescent="0.2">
      <c r="A7" s="8" t="s">
        <v>25</v>
      </c>
      <c r="B7" s="9"/>
      <c r="C7" s="17">
        <v>0.05</v>
      </c>
      <c r="D7" s="34"/>
      <c r="E7" s="13" t="s">
        <v>26</v>
      </c>
      <c r="F7" s="18">
        <f>+(M5-F4)/0.01</f>
        <v>0.11198863013888172</v>
      </c>
      <c r="G7" s="18">
        <f>+(N5-G4)/0.01</f>
        <v>0.11198863013817117</v>
      </c>
      <c r="H7" s="34"/>
      <c r="I7" s="34">
        <f>LN(1+C7)</f>
        <v>4.8790164169432049E-2</v>
      </c>
      <c r="J7" s="37">
        <f>+C2+1</f>
        <v>37197</v>
      </c>
      <c r="K7" s="34">
        <f>+(C3-J7)/365</f>
        <v>7.6712328767123292E-2</v>
      </c>
      <c r="L7" s="34">
        <f>(LN(C5/C6)+(I7-I9+C8^2/2)*K7)/(C8*K7^0.5)</f>
        <v>8.9177499122987683E-2</v>
      </c>
      <c r="M7" s="34">
        <f>C5*EXP(-I9*K7)*NORMSDIST(I5)-C6*EXP(-I7*K7)*NORMSDIST(I5-C8*K7^0.5)</f>
        <v>4.5985878657505239</v>
      </c>
      <c r="N7" s="35">
        <f>+M7-C5*EXP(-I9*K7)+C6*EXP(-I7*K7)</f>
        <v>4.2250067115271577</v>
      </c>
    </row>
    <row r="8" spans="1:14" x14ac:dyDescent="0.2">
      <c r="A8" s="8" t="s">
        <v>27</v>
      </c>
      <c r="B8" s="9"/>
      <c r="C8" s="20">
        <v>0.4</v>
      </c>
      <c r="D8" s="34"/>
      <c r="E8" s="13" t="s">
        <v>28</v>
      </c>
      <c r="F8" s="18">
        <f>+M7-F4</f>
        <v>-8.4464490388157287E-2</v>
      </c>
      <c r="G8" s="18">
        <f>+N7-G4</f>
        <v>-7.1148149372746161E-2</v>
      </c>
      <c r="H8" s="34"/>
      <c r="I8" s="34" t="s">
        <v>29</v>
      </c>
      <c r="J8" s="34"/>
      <c r="K8" s="34"/>
      <c r="L8" s="34"/>
      <c r="M8" s="34"/>
      <c r="N8" s="35"/>
    </row>
    <row r="9" spans="1:14" ht="13.5" thickBot="1" x14ac:dyDescent="0.25">
      <c r="A9" s="21" t="s">
        <v>30</v>
      </c>
      <c r="B9" s="22"/>
      <c r="C9" s="23">
        <v>0</v>
      </c>
      <c r="D9" s="38"/>
      <c r="E9" s="38"/>
      <c r="F9" s="38"/>
      <c r="G9" s="38"/>
      <c r="H9" s="38"/>
      <c r="I9" s="38">
        <f>LN(1+C9)</f>
        <v>0</v>
      </c>
      <c r="J9" s="38"/>
      <c r="K9" s="38"/>
      <c r="L9" s="38"/>
      <c r="M9" s="38"/>
      <c r="N9" s="39"/>
    </row>
    <row r="10" spans="1:14" ht="14.25" thickTop="1" thickBot="1" x14ac:dyDescent="0.25"/>
    <row r="11" spans="1:14" ht="13.5" thickTop="1" x14ac:dyDescent="0.2">
      <c r="A11" s="28" t="s">
        <v>0</v>
      </c>
      <c r="B11" s="29"/>
      <c r="C11" s="30"/>
      <c r="D11" s="31"/>
      <c r="E11" s="32" t="s">
        <v>1</v>
      </c>
      <c r="F11" s="30"/>
      <c r="G11" s="30"/>
      <c r="H11" s="31"/>
      <c r="I11" s="32" t="s">
        <v>2</v>
      </c>
      <c r="J11" s="6"/>
      <c r="K11" s="6"/>
      <c r="L11" s="6"/>
      <c r="M11" s="6"/>
      <c r="N11" s="7"/>
    </row>
    <row r="12" spans="1:14" x14ac:dyDescent="0.2">
      <c r="A12" s="8" t="s">
        <v>3</v>
      </c>
      <c r="B12" s="9"/>
      <c r="C12" s="10">
        <f>C2</f>
        <v>37196</v>
      </c>
      <c r="D12" s="34"/>
      <c r="E12" s="34"/>
      <c r="F12" s="34"/>
      <c r="G12" s="34"/>
      <c r="H12" s="34"/>
      <c r="I12" s="34" t="s">
        <v>4</v>
      </c>
      <c r="J12" s="34"/>
      <c r="K12" s="34" t="s">
        <v>5</v>
      </c>
      <c r="L12" s="34" t="s">
        <v>6</v>
      </c>
      <c r="M12" s="34" t="s">
        <v>7</v>
      </c>
      <c r="N12" s="35" t="s">
        <v>8</v>
      </c>
    </row>
    <row r="13" spans="1:14" x14ac:dyDescent="0.2">
      <c r="A13" s="8" t="s">
        <v>9</v>
      </c>
      <c r="B13" s="9"/>
      <c r="C13" s="10">
        <f t="shared" ref="C13:C19" si="0">C3</f>
        <v>37225</v>
      </c>
      <c r="D13" s="34"/>
      <c r="E13" s="13"/>
      <c r="F13" s="13" t="s">
        <v>10</v>
      </c>
      <c r="G13" s="13" t="s">
        <v>11</v>
      </c>
      <c r="H13" s="34"/>
      <c r="I13" s="34">
        <f>1/C14</f>
        <v>12.586206896551722</v>
      </c>
      <c r="J13" s="34"/>
      <c r="K13" s="34">
        <f>C15+0.001</f>
        <v>100.001</v>
      </c>
      <c r="L13" s="34">
        <f>(LN(K13/C16)+(I17-I19+C18^2/2)*C14)/(C18*C14^0.5)</f>
        <v>-0.34188803024960723</v>
      </c>
      <c r="M13" s="34">
        <f>EXP(-I19*C14)*NORMSDIST(L13)</f>
        <v>0.36621757896413892</v>
      </c>
      <c r="N13" s="35">
        <f>+(M13-1)*EXP(-I19*C14)</f>
        <v>-0.63378242103586113</v>
      </c>
    </row>
    <row r="14" spans="1:14" x14ac:dyDescent="0.2">
      <c r="A14" s="8" t="s">
        <v>12</v>
      </c>
      <c r="B14" s="36"/>
      <c r="C14" s="15">
        <f t="shared" si="0"/>
        <v>7.9452054794520555E-2</v>
      </c>
      <c r="D14" s="34"/>
      <c r="E14" s="13" t="s">
        <v>13</v>
      </c>
      <c r="F14" s="16">
        <f>C15*EXP(-I19*C14)*NORMSDIST(I15)-C16*EXP(-I17*C14)*NORMSDIST(I15-C18*C14^0.5)</f>
        <v>2.6617119637479121</v>
      </c>
      <c r="G14" s="16">
        <f>+F14-C15*EXP(-I19*C14)+C16*EXP(-I17*C14)</f>
        <v>7.2554695937471791</v>
      </c>
      <c r="H14" s="34"/>
      <c r="I14" s="34" t="s">
        <v>14</v>
      </c>
      <c r="J14" s="34"/>
      <c r="K14" s="34" t="s">
        <v>15</v>
      </c>
      <c r="L14" s="34"/>
      <c r="M14" s="34" t="s">
        <v>16</v>
      </c>
      <c r="N14" s="35" t="s">
        <v>17</v>
      </c>
    </row>
    <row r="15" spans="1:14" x14ac:dyDescent="0.2">
      <c r="A15" s="8" t="s">
        <v>18</v>
      </c>
      <c r="B15" s="9"/>
      <c r="C15" s="17">
        <f t="shared" si="0"/>
        <v>100</v>
      </c>
      <c r="D15" s="34"/>
      <c r="E15" s="13" t="s">
        <v>19</v>
      </c>
      <c r="F15" s="16">
        <f>EXP(-I19*C14)*NORMSDIST(I15)</f>
        <v>0.36618420506344362</v>
      </c>
      <c r="G15" s="16">
        <f>F15-EXP(-I19*C14)</f>
        <v>-0.63381579493655638</v>
      </c>
      <c r="H15" s="34"/>
      <c r="I15" s="34">
        <f>(LN(C15/C16)+(I17-I19+C18^2/2)*C14)/(C18*C14^0.5)</f>
        <v>-0.34197672241751076</v>
      </c>
      <c r="J15" s="34"/>
      <c r="K15" s="34">
        <f>+C18+0.0001</f>
        <v>0.40010000000000001</v>
      </c>
      <c r="L15" s="34">
        <f>(LN(C15/C16)+(I17-I19+K15^2/2)*C14)/(K15*C14^0.5)</f>
        <v>-0.34186306588676252</v>
      </c>
      <c r="M15" s="34">
        <f>C15*EXP(-I19*C14)*NORMSDIST(I15)-C16*EXP(-I17*C14)*NORMSDIST(I15-K15*C14^0.5)</f>
        <v>2.6627725961646789</v>
      </c>
      <c r="N15" s="35">
        <f>+M15-C15*EXP(-I19*C14)+C16*EXP(-I17*C14)</f>
        <v>7.2565302261639459</v>
      </c>
    </row>
    <row r="16" spans="1:14" x14ac:dyDescent="0.2">
      <c r="A16" s="8" t="s">
        <v>20</v>
      </c>
      <c r="B16" s="9"/>
      <c r="C16" s="15">
        <v>105</v>
      </c>
      <c r="D16" s="34"/>
      <c r="E16" s="13" t="s">
        <v>21</v>
      </c>
      <c r="F16" s="18">
        <f>+(M13-F15)/0.001</f>
        <v>3.337390069529933E-2</v>
      </c>
      <c r="G16" s="18">
        <f>+(N13-G15)/0.001</f>
        <v>3.3373900695243819E-2</v>
      </c>
      <c r="H16" s="34"/>
      <c r="I16" s="34" t="s">
        <v>22</v>
      </c>
      <c r="J16" s="34" t="s">
        <v>23</v>
      </c>
      <c r="K16" s="34" t="s">
        <v>24</v>
      </c>
      <c r="L16" s="34"/>
      <c r="M16" s="34"/>
      <c r="N16" s="35"/>
    </row>
    <row r="17" spans="1:15" x14ac:dyDescent="0.2">
      <c r="A17" s="8" t="s">
        <v>25</v>
      </c>
      <c r="B17" s="9"/>
      <c r="C17" s="17">
        <f t="shared" si="0"/>
        <v>0.05</v>
      </c>
      <c r="D17" s="34"/>
      <c r="E17" s="13" t="s">
        <v>26</v>
      </c>
      <c r="F17" s="18">
        <f>+(M15-F14)/0.01</f>
        <v>0.10606324167667935</v>
      </c>
      <c r="G17" s="18">
        <f>+(N15-G14)/0.01</f>
        <v>0.10606324167667935</v>
      </c>
      <c r="H17" s="34"/>
      <c r="I17" s="34">
        <f>LN(1+C17)</f>
        <v>4.8790164169432049E-2</v>
      </c>
      <c r="J17" s="37">
        <f>+C12+1</f>
        <v>37197</v>
      </c>
      <c r="K17" s="34">
        <f>+(C13-J17)/365</f>
        <v>7.6712328767123292E-2</v>
      </c>
      <c r="L17" s="34">
        <f>(LN(C15/C16)+(I17-I19+C18^2/2)*K17)/(C18*K17^0.5)</f>
        <v>-0.3512147883816667</v>
      </c>
      <c r="M17" s="34">
        <f>C15*EXP(-I19*K17)*NORMSDIST(I15)-C16*EXP(-I17*K17)*NORMSDIST(I15-C18*K17^0.5)</f>
        <v>2.5833406529677774</v>
      </c>
      <c r="N17" s="35">
        <f>+M17-C15*EXP(-I19*K17)+C16*EXP(-I17*K17)</f>
        <v>7.1910804410332503</v>
      </c>
    </row>
    <row r="18" spans="1:15" x14ac:dyDescent="0.2">
      <c r="A18" s="8" t="s">
        <v>27</v>
      </c>
      <c r="B18" s="9"/>
      <c r="C18" s="20">
        <f t="shared" si="0"/>
        <v>0.4</v>
      </c>
      <c r="D18" s="34"/>
      <c r="E18" s="13" t="s">
        <v>28</v>
      </c>
      <c r="F18" s="18">
        <f>+M17-F14</f>
        <v>-7.8371310780134706E-2</v>
      </c>
      <c r="G18" s="18">
        <f>+N17-G14</f>
        <v>-6.4389152713928866E-2</v>
      </c>
      <c r="H18" s="34"/>
      <c r="I18" s="34" t="s">
        <v>29</v>
      </c>
      <c r="J18" s="34"/>
      <c r="K18" s="34"/>
      <c r="L18" s="34"/>
      <c r="M18" s="34"/>
      <c r="N18" s="35"/>
    </row>
    <row r="19" spans="1:15" ht="13.5" thickBot="1" x14ac:dyDescent="0.25">
      <c r="A19" s="21" t="s">
        <v>30</v>
      </c>
      <c r="B19" s="22"/>
      <c r="C19" s="23">
        <f t="shared" si="0"/>
        <v>0</v>
      </c>
      <c r="D19" s="38"/>
      <c r="E19" s="38"/>
      <c r="F19" s="38"/>
      <c r="G19" s="38"/>
      <c r="H19" s="38"/>
      <c r="I19" s="38">
        <f>LN(1+C19)</f>
        <v>0</v>
      </c>
      <c r="J19" s="38"/>
      <c r="K19" s="38"/>
      <c r="L19" s="38"/>
      <c r="M19" s="38"/>
      <c r="N19" s="39"/>
    </row>
    <row r="20" spans="1:15" ht="13.5" thickTop="1" x14ac:dyDescent="0.2"/>
    <row r="22" spans="1:15" x14ac:dyDescent="0.2">
      <c r="B22" s="48" t="s">
        <v>31</v>
      </c>
      <c r="C22" s="48" t="s">
        <v>39</v>
      </c>
      <c r="D22" s="48" t="s">
        <v>40</v>
      </c>
      <c r="E22" s="48" t="s">
        <v>41</v>
      </c>
      <c r="F22" s="48"/>
    </row>
    <row r="23" spans="1:15" x14ac:dyDescent="0.2">
      <c r="A23" s="47" t="s">
        <v>33</v>
      </c>
      <c r="B23" s="33">
        <v>0</v>
      </c>
      <c r="C23" s="33">
        <v>0</v>
      </c>
      <c r="D23" s="33">
        <v>0</v>
      </c>
      <c r="G23" s="48" t="s">
        <v>31</v>
      </c>
      <c r="H23" s="48" t="s">
        <v>45</v>
      </c>
      <c r="J23" s="33" t="s">
        <v>65</v>
      </c>
    </row>
    <row r="24" spans="1:15" x14ac:dyDescent="0.2">
      <c r="G24" s="26"/>
      <c r="H24" s="41">
        <f>F37</f>
        <v>0</v>
      </c>
      <c r="J24" s="47" t="s">
        <v>31</v>
      </c>
      <c r="K24" s="47" t="s">
        <v>61</v>
      </c>
      <c r="L24" s="47" t="s">
        <v>59</v>
      </c>
      <c r="M24" s="47" t="s">
        <v>60</v>
      </c>
      <c r="N24" s="47" t="s">
        <v>62</v>
      </c>
      <c r="O24" s="47" t="s">
        <v>63</v>
      </c>
    </row>
    <row r="25" spans="1:15" x14ac:dyDescent="0.2">
      <c r="A25" s="49" t="s">
        <v>56</v>
      </c>
      <c r="B25" s="45"/>
      <c r="C25" s="45"/>
      <c r="D25" s="45"/>
      <c r="E25" s="45"/>
      <c r="G25">
        <v>85</v>
      </c>
      <c r="H25" s="42">
        <f t="dataTable" ref="H25:H55" dt2D="0" dtr="0" r1="C5"/>
        <v>0</v>
      </c>
      <c r="J25" s="42"/>
      <c r="L25" s="42"/>
      <c r="M25" s="42"/>
      <c r="N25" s="42"/>
      <c r="O25" s="42"/>
    </row>
    <row r="26" spans="1:15" x14ac:dyDescent="0.2">
      <c r="A26" s="47" t="s">
        <v>32</v>
      </c>
      <c r="B26" s="33">
        <v>100</v>
      </c>
      <c r="C26" s="41">
        <v>4.6830523561386812</v>
      </c>
      <c r="D26" s="41">
        <v>2.6617119637479121</v>
      </c>
      <c r="G26" s="33">
        <v>86</v>
      </c>
      <c r="H26" s="42">
        <v>0</v>
      </c>
      <c r="J26" s="42"/>
      <c r="L26" s="42"/>
      <c r="M26" s="42"/>
      <c r="N26" s="42"/>
      <c r="O26" s="42"/>
    </row>
    <row r="27" spans="1:15" x14ac:dyDescent="0.2">
      <c r="A27" s="47" t="s">
        <v>34</v>
      </c>
      <c r="B27" s="33">
        <v>1</v>
      </c>
      <c r="C27" s="41">
        <v>0.53615675752552172</v>
      </c>
      <c r="D27" s="41">
        <v>0.36618420506344362</v>
      </c>
      <c r="E27" s="41"/>
      <c r="G27">
        <v>87</v>
      </c>
      <c r="H27" s="42">
        <v>0</v>
      </c>
      <c r="J27" s="42"/>
      <c r="L27" s="42"/>
      <c r="M27" s="42"/>
      <c r="N27" s="42"/>
      <c r="O27" s="42"/>
    </row>
    <row r="28" spans="1:15" x14ac:dyDescent="0.2">
      <c r="A28" s="47" t="s">
        <v>35</v>
      </c>
      <c r="B28" s="33">
        <v>0</v>
      </c>
      <c r="C28" s="41">
        <v>3.5237494598328034E-2</v>
      </c>
      <c r="D28" s="41">
        <v>3.337390069529933E-2</v>
      </c>
      <c r="E28" s="41"/>
      <c r="G28" s="33">
        <v>88</v>
      </c>
      <c r="H28" s="42">
        <v>0</v>
      </c>
      <c r="J28" s="42"/>
      <c r="L28" s="42"/>
      <c r="M28" s="42"/>
      <c r="N28" s="42"/>
      <c r="O28" s="42"/>
    </row>
    <row r="29" spans="1:15" x14ac:dyDescent="0.2">
      <c r="A29" s="47" t="s">
        <v>36</v>
      </c>
      <c r="B29" s="33">
        <v>0</v>
      </c>
      <c r="C29" s="41">
        <v>0.11198863013888172</v>
      </c>
      <c r="D29" s="41">
        <v>0.10606324167667935</v>
      </c>
      <c r="E29" s="41"/>
      <c r="G29">
        <v>89</v>
      </c>
      <c r="H29" s="42">
        <v>0</v>
      </c>
      <c r="J29" s="42"/>
      <c r="L29" s="42"/>
      <c r="M29" s="42"/>
      <c r="N29" s="42"/>
      <c r="O29" s="42"/>
    </row>
    <row r="30" spans="1:15" x14ac:dyDescent="0.2">
      <c r="A30" s="47" t="s">
        <v>55</v>
      </c>
      <c r="B30" s="33">
        <f t="shared" ref="B30:D31" si="1">B$23*B26</f>
        <v>0</v>
      </c>
      <c r="C30" s="33">
        <f t="shared" ref="C30:D30" si="2">C$23*C26</f>
        <v>0</v>
      </c>
      <c r="D30" s="33">
        <f t="shared" si="2"/>
        <v>0</v>
      </c>
      <c r="E30" s="41">
        <f>SUM(B30:D30)</f>
        <v>0</v>
      </c>
      <c r="G30" s="33">
        <v>90</v>
      </c>
      <c r="H30" s="42">
        <v>0</v>
      </c>
      <c r="J30" s="42"/>
      <c r="L30" s="42"/>
      <c r="M30" s="42"/>
      <c r="N30" s="42"/>
      <c r="O30" s="42"/>
    </row>
    <row r="31" spans="1:15" x14ac:dyDescent="0.2">
      <c r="A31" s="47" t="s">
        <v>52</v>
      </c>
      <c r="B31" s="33">
        <f t="shared" si="1"/>
        <v>0</v>
      </c>
      <c r="C31" s="33">
        <f t="shared" ref="C31:D31" si="3">C$23*C27</f>
        <v>0</v>
      </c>
      <c r="D31" s="33">
        <f t="shared" si="3"/>
        <v>0</v>
      </c>
      <c r="E31" s="41">
        <f>SUM(B31:D31)</f>
        <v>0</v>
      </c>
      <c r="G31">
        <v>91</v>
      </c>
      <c r="H31" s="42">
        <v>0</v>
      </c>
      <c r="J31" s="42"/>
      <c r="L31" s="42"/>
      <c r="M31" s="42"/>
      <c r="N31" s="42"/>
      <c r="O31" s="42"/>
    </row>
    <row r="32" spans="1:15" x14ac:dyDescent="0.2">
      <c r="A32" s="47" t="s">
        <v>53</v>
      </c>
      <c r="B32" s="33">
        <f t="shared" ref="B32:D32" si="4">B$23*B28</f>
        <v>0</v>
      </c>
      <c r="C32" s="33">
        <f t="shared" ref="C32:D32" si="5">C$23*C28</f>
        <v>0</v>
      </c>
      <c r="D32" s="33">
        <f t="shared" si="5"/>
        <v>0</v>
      </c>
      <c r="E32" s="41">
        <f>SUM(B32:D32)</f>
        <v>0</v>
      </c>
      <c r="F32" s="33">
        <f>-E32/D28</f>
        <v>0</v>
      </c>
      <c r="G32" s="33">
        <v>92</v>
      </c>
      <c r="H32" s="42">
        <v>0</v>
      </c>
      <c r="J32" s="42"/>
      <c r="L32" s="42"/>
      <c r="M32" s="42"/>
      <c r="N32" s="42"/>
      <c r="O32" s="42"/>
    </row>
    <row r="33" spans="1:15" x14ac:dyDescent="0.2">
      <c r="A33" s="47" t="s">
        <v>54</v>
      </c>
      <c r="B33" s="33">
        <f>B$23*B29</f>
        <v>0</v>
      </c>
      <c r="C33" s="33">
        <f t="shared" ref="C33:D33" si="6">C$23*C29</f>
        <v>0</v>
      </c>
      <c r="D33" s="33">
        <f t="shared" si="6"/>
        <v>0</v>
      </c>
      <c r="E33" s="41">
        <f>SUM(B33:D33)</f>
        <v>0</v>
      </c>
      <c r="G33">
        <v>93</v>
      </c>
      <c r="H33" s="42">
        <v>0</v>
      </c>
      <c r="J33" s="42"/>
      <c r="L33" s="42"/>
      <c r="M33" s="42"/>
      <c r="N33" s="42"/>
      <c r="O33" s="42"/>
    </row>
    <row r="34" spans="1:15" x14ac:dyDescent="0.2">
      <c r="G34" s="33">
        <v>94</v>
      </c>
      <c r="H34" s="42">
        <v>0</v>
      </c>
      <c r="J34" s="42"/>
      <c r="L34" s="42"/>
      <c r="M34" s="42"/>
      <c r="N34" s="42"/>
      <c r="O34" s="42"/>
    </row>
    <row r="35" spans="1:15" x14ac:dyDescent="0.2">
      <c r="A35" s="49" t="s">
        <v>57</v>
      </c>
      <c r="B35" s="45"/>
      <c r="C35" s="46"/>
      <c r="D35" s="46"/>
      <c r="E35" s="46"/>
      <c r="G35">
        <v>95</v>
      </c>
      <c r="H35" s="42">
        <v>0</v>
      </c>
      <c r="J35" s="42"/>
      <c r="L35" s="42"/>
      <c r="M35" s="42"/>
      <c r="N35" s="42"/>
      <c r="O35" s="42"/>
    </row>
    <row r="36" spans="1:15" x14ac:dyDescent="0.2">
      <c r="A36" s="47" t="s">
        <v>37</v>
      </c>
      <c r="B36" s="33">
        <f>C5</f>
        <v>100</v>
      </c>
      <c r="C36" s="41">
        <f>F4</f>
        <v>4.6830523561386812</v>
      </c>
      <c r="D36" s="41">
        <f>F14</f>
        <v>2.6617119637479121</v>
      </c>
      <c r="E36" s="41"/>
      <c r="F36" s="33" t="s">
        <v>45</v>
      </c>
      <c r="G36" s="33">
        <v>96</v>
      </c>
      <c r="H36" s="42">
        <v>0</v>
      </c>
      <c r="J36" s="42"/>
      <c r="L36" s="42"/>
      <c r="M36" s="42"/>
      <c r="N36" s="42"/>
      <c r="O36" s="42"/>
    </row>
    <row r="37" spans="1:15" x14ac:dyDescent="0.2">
      <c r="A37" s="47" t="s">
        <v>38</v>
      </c>
      <c r="B37" s="33">
        <f>B$23*B36</f>
        <v>0</v>
      </c>
      <c r="C37" s="41">
        <f>C$23*F4</f>
        <v>0</v>
      </c>
      <c r="D37" s="41">
        <f>D23*F14</f>
        <v>0</v>
      </c>
      <c r="E37" s="41">
        <f>SUM(B37:D37)</f>
        <v>0</v>
      </c>
      <c r="F37" s="43">
        <f>E37-E30</f>
        <v>0</v>
      </c>
      <c r="G37">
        <v>97</v>
      </c>
      <c r="H37" s="42">
        <v>0</v>
      </c>
      <c r="J37" s="42"/>
      <c r="L37" s="42"/>
      <c r="M37" s="42"/>
      <c r="N37" s="42"/>
      <c r="O37" s="42"/>
    </row>
    <row r="38" spans="1:15" x14ac:dyDescent="0.2">
      <c r="A38" s="47" t="s">
        <v>42</v>
      </c>
      <c r="B38" s="33">
        <f>B$23*1</f>
        <v>0</v>
      </c>
      <c r="C38" s="41">
        <f>C$23*F5</f>
        <v>0</v>
      </c>
      <c r="D38" s="41">
        <f>D24*F15</f>
        <v>0</v>
      </c>
      <c r="E38" s="41">
        <f>SUM(B38:D38)</f>
        <v>0</v>
      </c>
      <c r="G38" s="33">
        <v>98</v>
      </c>
      <c r="H38" s="42">
        <v>0</v>
      </c>
      <c r="J38" s="42"/>
      <c r="L38" s="42"/>
      <c r="M38" s="42"/>
      <c r="N38" s="42"/>
      <c r="O38" s="42"/>
    </row>
    <row r="39" spans="1:15" x14ac:dyDescent="0.2">
      <c r="A39" s="47" t="s">
        <v>43</v>
      </c>
      <c r="B39" s="33">
        <v>0</v>
      </c>
      <c r="C39" s="41">
        <f>C$23*F6</f>
        <v>0</v>
      </c>
      <c r="D39" s="41">
        <f>D25*F16</f>
        <v>0</v>
      </c>
      <c r="E39" s="41">
        <f>SUM(B39:D39)</f>
        <v>0</v>
      </c>
      <c r="G39">
        <v>99</v>
      </c>
      <c r="H39" s="42">
        <v>0</v>
      </c>
      <c r="J39" s="42"/>
      <c r="L39" s="42"/>
      <c r="M39" s="42"/>
      <c r="N39" s="42"/>
      <c r="O39" s="42"/>
    </row>
    <row r="40" spans="1:15" x14ac:dyDescent="0.2">
      <c r="A40" s="47" t="s">
        <v>44</v>
      </c>
      <c r="B40" s="33">
        <v>0</v>
      </c>
      <c r="C40" s="41">
        <f>C$23*F7</f>
        <v>0</v>
      </c>
      <c r="D40" s="41">
        <f>D26*F17</f>
        <v>0.28230979928470362</v>
      </c>
      <c r="E40" s="41">
        <f>SUM(B40:D40)</f>
        <v>0.28230979928470362</v>
      </c>
      <c r="G40" s="33">
        <v>100</v>
      </c>
      <c r="H40" s="42">
        <v>0</v>
      </c>
      <c r="J40" s="42"/>
      <c r="L40" s="42"/>
      <c r="M40" s="42"/>
      <c r="N40" s="42"/>
      <c r="O40" s="42"/>
    </row>
    <row r="41" spans="1:15" x14ac:dyDescent="0.2">
      <c r="G41">
        <v>101</v>
      </c>
      <c r="H41" s="42">
        <v>0</v>
      </c>
      <c r="J41" s="42"/>
      <c r="L41" s="42"/>
      <c r="M41" s="42"/>
      <c r="N41" s="42"/>
      <c r="O41" s="42"/>
    </row>
    <row r="42" spans="1:15" x14ac:dyDescent="0.2">
      <c r="G42" s="33">
        <v>102</v>
      </c>
      <c r="H42" s="42">
        <v>0</v>
      </c>
      <c r="J42" s="42"/>
      <c r="L42" s="42"/>
      <c r="M42" s="42"/>
      <c r="N42" s="42"/>
      <c r="O42" s="42"/>
    </row>
    <row r="43" spans="1:15" x14ac:dyDescent="0.2">
      <c r="G43">
        <v>103</v>
      </c>
      <c r="H43" s="42">
        <v>0</v>
      </c>
      <c r="J43" s="42"/>
      <c r="L43" s="42"/>
      <c r="M43" s="42"/>
      <c r="N43" s="42"/>
      <c r="O43" s="42"/>
    </row>
    <row r="44" spans="1:15" x14ac:dyDescent="0.2">
      <c r="G44" s="33">
        <v>104</v>
      </c>
      <c r="H44" s="42">
        <v>0</v>
      </c>
      <c r="J44" s="42"/>
      <c r="L44" s="42"/>
      <c r="M44" s="42"/>
      <c r="N44" s="42"/>
      <c r="O44" s="42"/>
    </row>
    <row r="45" spans="1:15" x14ac:dyDescent="0.2">
      <c r="G45">
        <v>105</v>
      </c>
      <c r="H45" s="42">
        <v>0</v>
      </c>
      <c r="J45" s="42"/>
      <c r="L45" s="42"/>
      <c r="M45" s="42"/>
      <c r="N45" s="42"/>
      <c r="O45" s="42"/>
    </row>
    <row r="46" spans="1:15" x14ac:dyDescent="0.2">
      <c r="G46" s="33">
        <v>106</v>
      </c>
      <c r="H46" s="42">
        <v>0</v>
      </c>
      <c r="J46" s="42"/>
      <c r="L46" s="42"/>
      <c r="M46" s="42"/>
      <c r="N46" s="42"/>
      <c r="O46" s="42"/>
    </row>
    <row r="47" spans="1:15" x14ac:dyDescent="0.2">
      <c r="G47">
        <v>107</v>
      </c>
      <c r="H47" s="42">
        <v>0</v>
      </c>
      <c r="J47" s="42"/>
      <c r="L47" s="42"/>
      <c r="M47" s="42"/>
      <c r="N47" s="42"/>
      <c r="O47" s="42"/>
    </row>
    <row r="48" spans="1:15" x14ac:dyDescent="0.2">
      <c r="G48" s="33">
        <v>108</v>
      </c>
      <c r="H48" s="42">
        <v>0</v>
      </c>
      <c r="J48" s="42"/>
      <c r="L48" s="42"/>
      <c r="M48" s="42"/>
      <c r="N48" s="42"/>
      <c r="O48" s="42"/>
    </row>
    <row r="49" spans="7:15" x14ac:dyDescent="0.2">
      <c r="G49">
        <v>109</v>
      </c>
      <c r="H49" s="42">
        <v>0</v>
      </c>
      <c r="J49" s="42"/>
      <c r="L49" s="42"/>
      <c r="M49" s="42"/>
      <c r="N49" s="42"/>
      <c r="O49" s="42"/>
    </row>
    <row r="50" spans="7:15" x14ac:dyDescent="0.2">
      <c r="G50" s="33">
        <v>110</v>
      </c>
      <c r="H50" s="42">
        <v>0</v>
      </c>
      <c r="J50" s="42"/>
      <c r="L50" s="42"/>
      <c r="M50" s="42"/>
      <c r="N50" s="42"/>
      <c r="O50" s="42"/>
    </row>
    <row r="51" spans="7:15" x14ac:dyDescent="0.2">
      <c r="G51">
        <v>111</v>
      </c>
      <c r="H51" s="42">
        <v>0</v>
      </c>
      <c r="J51" s="42"/>
      <c r="L51" s="42"/>
      <c r="M51" s="42"/>
      <c r="N51" s="42"/>
      <c r="O51" s="42"/>
    </row>
    <row r="52" spans="7:15" x14ac:dyDescent="0.2">
      <c r="G52" s="33">
        <v>112</v>
      </c>
      <c r="H52" s="42">
        <v>0</v>
      </c>
      <c r="J52" s="42"/>
      <c r="L52" s="42"/>
      <c r="M52" s="42"/>
      <c r="N52" s="42"/>
      <c r="O52" s="42"/>
    </row>
    <row r="53" spans="7:15" x14ac:dyDescent="0.2">
      <c r="G53">
        <v>113</v>
      </c>
      <c r="H53" s="42">
        <v>0</v>
      </c>
      <c r="J53" s="42"/>
      <c r="L53" s="42"/>
      <c r="M53" s="42"/>
      <c r="N53" s="42"/>
      <c r="O53" s="42"/>
    </row>
    <row r="54" spans="7:15" x14ac:dyDescent="0.2">
      <c r="G54" s="33">
        <v>114</v>
      </c>
      <c r="H54" s="42">
        <v>0</v>
      </c>
      <c r="J54" s="42"/>
      <c r="L54" s="42"/>
      <c r="M54" s="42"/>
      <c r="N54" s="42"/>
      <c r="O54" s="42"/>
    </row>
    <row r="55" spans="7:15" x14ac:dyDescent="0.2">
      <c r="G55">
        <v>115</v>
      </c>
      <c r="H55" s="42">
        <v>0</v>
      </c>
      <c r="J55" s="42"/>
      <c r="L55" s="42"/>
      <c r="M55" s="42"/>
      <c r="N55" s="42"/>
      <c r="O55" s="42"/>
    </row>
  </sheetData>
  <phoneticPr fontId="0" type="noConversion"/>
  <pageMargins left="0.75" right="0.75" top="1" bottom="1" header="0.5" footer="0.5"/>
  <pageSetup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1"/>
  <sheetViews>
    <sheetView workbookViewId="0">
      <selection activeCell="C12" sqref="C12"/>
    </sheetView>
  </sheetViews>
  <sheetFormatPr defaultColWidth="14.7109375" defaultRowHeight="12.75" x14ac:dyDescent="0.2"/>
  <sheetData>
    <row r="1" spans="1:14" ht="18.75" thickTop="1" x14ac:dyDescent="0.25">
      <c r="A1" s="1" t="s">
        <v>0</v>
      </c>
      <c r="B1" s="2"/>
      <c r="C1" s="3"/>
      <c r="D1" s="4"/>
      <c r="E1" s="5" t="s">
        <v>1</v>
      </c>
      <c r="F1" s="3"/>
      <c r="G1" s="3"/>
      <c r="H1" s="4"/>
      <c r="I1" s="5" t="s">
        <v>2</v>
      </c>
      <c r="J1" s="6"/>
      <c r="K1" s="6"/>
      <c r="L1" s="6"/>
      <c r="M1" s="6"/>
      <c r="N1" s="7"/>
    </row>
    <row r="2" spans="1:14" x14ac:dyDescent="0.2">
      <c r="A2" s="8" t="s">
        <v>3</v>
      </c>
      <c r="B2" s="9"/>
      <c r="C2" s="10">
        <v>37196</v>
      </c>
      <c r="D2" s="11"/>
      <c r="E2" s="11"/>
      <c r="F2" s="11"/>
      <c r="G2" s="11"/>
      <c r="H2" s="11"/>
      <c r="I2" s="11" t="s">
        <v>4</v>
      </c>
      <c r="J2" s="11"/>
      <c r="K2" s="11" t="s">
        <v>5</v>
      </c>
      <c r="L2" s="11" t="s">
        <v>6</v>
      </c>
      <c r="M2" s="11" t="s">
        <v>7</v>
      </c>
      <c r="N2" s="12" t="s">
        <v>8</v>
      </c>
    </row>
    <row r="3" spans="1:14" x14ac:dyDescent="0.2">
      <c r="A3" s="8" t="s">
        <v>9</v>
      </c>
      <c r="B3" s="9"/>
      <c r="C3" s="10">
        <v>37225</v>
      </c>
      <c r="D3" s="11"/>
      <c r="E3" s="13"/>
      <c r="F3" s="13" t="s">
        <v>10</v>
      </c>
      <c r="G3" s="13" t="s">
        <v>11</v>
      </c>
      <c r="H3" s="11"/>
      <c r="I3" s="11">
        <f>1/C4</f>
        <v>12.586206896551722</v>
      </c>
      <c r="J3" s="11"/>
      <c r="K3" s="11">
        <f>C5+0.001</f>
        <v>97.001000000000005</v>
      </c>
      <c r="L3" s="11">
        <f>(LN(K3/C6)+(I7-I9+C8^2/2)*C4)/(C8*C4^0.5)</f>
        <v>-0.17930324549243865</v>
      </c>
      <c r="M3" s="11">
        <f>EXP(-I9*C4)*NORMSDIST(L3)</f>
        <v>0.42884979930840089</v>
      </c>
      <c r="N3" s="12">
        <f>+(M3-1)*EXP(-I9*C4)</f>
        <v>-0.57115020069159916</v>
      </c>
    </row>
    <row r="4" spans="1:14" x14ac:dyDescent="0.2">
      <c r="A4" s="8" t="s">
        <v>12</v>
      </c>
      <c r="B4" s="14"/>
      <c r="C4" s="15">
        <f>+(C3-C2)/365</f>
        <v>7.9452054794520555E-2</v>
      </c>
      <c r="D4" s="11"/>
      <c r="E4" s="13" t="s">
        <v>13</v>
      </c>
      <c r="F4" s="16">
        <f>C5*EXP(-I9*C4)*NORMSDIST(I5)-C6*EXP(-I7*C4)*NORMSDIST(I5-C8*C4^0.5)</f>
        <v>3.2350985053231724</v>
      </c>
      <c r="G4" s="16">
        <f>+F4-C5*EXP(-I9*C4)+C6*EXP(-I7*C4)</f>
        <v>5.8482010100843951</v>
      </c>
      <c r="H4" s="11"/>
      <c r="I4" s="11" t="s">
        <v>14</v>
      </c>
      <c r="J4" s="11"/>
      <c r="K4" s="11" t="s">
        <v>15</v>
      </c>
      <c r="L4" s="11"/>
      <c r="M4" s="11" t="s">
        <v>16</v>
      </c>
      <c r="N4" s="12" t="s">
        <v>17</v>
      </c>
    </row>
    <row r="5" spans="1:14" x14ac:dyDescent="0.2">
      <c r="A5" s="8" t="s">
        <v>18</v>
      </c>
      <c r="B5" s="9"/>
      <c r="C5" s="17">
        <f>C14</f>
        <v>97</v>
      </c>
      <c r="D5" s="11"/>
      <c r="E5" s="13" t="s">
        <v>19</v>
      </c>
      <c r="F5" s="16">
        <f>EXP(-I9*C4)*NORMSDIST(I5)</f>
        <v>0.42881390391101626</v>
      </c>
      <c r="G5" s="16">
        <f>F5-EXP(-I9*C4)</f>
        <v>-0.57118609608898374</v>
      </c>
      <c r="H5" s="11"/>
      <c r="I5" s="11">
        <f>(LN(C5/C6)+(I7-I9+C8^2/2)*C4)/(C8*C4^0.5)</f>
        <v>-0.17939468070294187</v>
      </c>
      <c r="J5" s="11"/>
      <c r="K5" s="11">
        <f>+C8+0.0001</f>
        <v>0.40010000000000001</v>
      </c>
      <c r="L5" s="11">
        <f>(LN(C5/C6)+(I7-I9+K5^2/2)*C4)/(K5*C4^0.5)</f>
        <v>-0.17932165952378434</v>
      </c>
      <c r="M5" s="11">
        <f>C5*EXP(-I9*C4)*NORMSDIST(I5)-C6*EXP(-I7*C4)*NORMSDIST(I5-K5*C4^0.5)</f>
        <v>3.236171862459436</v>
      </c>
      <c r="N5" s="12">
        <f>+M5-C5*EXP(-I9*C4)+C6*EXP(-I7*C4)</f>
        <v>5.8492743672206444</v>
      </c>
    </row>
    <row r="6" spans="1:14" x14ac:dyDescent="0.2">
      <c r="A6" s="8" t="s">
        <v>20</v>
      </c>
      <c r="B6" s="9"/>
      <c r="C6" s="15">
        <v>100</v>
      </c>
      <c r="D6" s="11"/>
      <c r="E6" s="13" t="s">
        <v>21</v>
      </c>
      <c r="F6" s="18">
        <f>+(M3-F5)/0.001</f>
        <v>3.589539738463321E-2</v>
      </c>
      <c r="G6" s="18">
        <f>+(N3-G5)/0.001</f>
        <v>3.5895397384577699E-2</v>
      </c>
      <c r="H6" s="11"/>
      <c r="I6" s="11" t="s">
        <v>22</v>
      </c>
      <c r="J6" s="11" t="s">
        <v>23</v>
      </c>
      <c r="K6" s="11" t="s">
        <v>24</v>
      </c>
      <c r="L6" s="11"/>
      <c r="M6" s="11"/>
      <c r="N6" s="12"/>
    </row>
    <row r="7" spans="1:14" x14ac:dyDescent="0.2">
      <c r="A7" s="8" t="s">
        <v>25</v>
      </c>
      <c r="B7" s="9"/>
      <c r="C7" s="17">
        <v>0.05</v>
      </c>
      <c r="D7" s="11"/>
      <c r="E7" s="13" t="s">
        <v>26</v>
      </c>
      <c r="F7" s="18">
        <f>+(M5-F4)/0.01</f>
        <v>0.1073357136263553</v>
      </c>
      <c r="G7" s="18">
        <f>+(N5-G4)/0.01</f>
        <v>0.10733571362493421</v>
      </c>
      <c r="H7" s="11"/>
      <c r="I7" s="11">
        <f>LN(1+C7)</f>
        <v>4.8790164169432049E-2</v>
      </c>
      <c r="J7" s="19">
        <f>+C2+1</f>
        <v>37197</v>
      </c>
      <c r="K7" s="11">
        <f>+(C3-J7)/365</f>
        <v>7.6712328767123292E-2</v>
      </c>
      <c r="L7" s="11">
        <f>(LN(C5/C6)+(I7-I9+C8^2/2)*K7)/(C8*K7^0.5)</f>
        <v>-0.18575496499390534</v>
      </c>
      <c r="M7" s="11">
        <f>C5*EXP(-I9*K7)*NORMSDIST(I5)-C6*EXP(-I7*K7)*NORMSDIST(I5-C8*K7^0.5)</f>
        <v>3.1552648786841573</v>
      </c>
      <c r="N7" s="12">
        <f>+M7-C5*EXP(-I9*K7)+C6*EXP(-I7*K7)</f>
        <v>5.7816837244608053</v>
      </c>
    </row>
    <row r="8" spans="1:14" x14ac:dyDescent="0.2">
      <c r="A8" s="8" t="s">
        <v>27</v>
      </c>
      <c r="B8" s="9"/>
      <c r="C8" s="20">
        <v>0.4</v>
      </c>
      <c r="D8" s="11"/>
      <c r="E8" s="13" t="s">
        <v>28</v>
      </c>
      <c r="F8" s="18">
        <f>+M7-F4</f>
        <v>-7.9833626639015165E-2</v>
      </c>
      <c r="G8" s="18">
        <f>+N7-G4</f>
        <v>-6.6517285623589828E-2</v>
      </c>
      <c r="H8" s="11"/>
      <c r="I8" s="11" t="s">
        <v>29</v>
      </c>
      <c r="J8" s="11"/>
      <c r="K8" s="11"/>
      <c r="L8" s="11"/>
      <c r="M8" s="11"/>
      <c r="N8" s="12"/>
    </row>
    <row r="9" spans="1:14" ht="13.5" thickBot="1" x14ac:dyDescent="0.25">
      <c r="A9" s="21" t="s">
        <v>30</v>
      </c>
      <c r="B9" s="22"/>
      <c r="C9" s="23">
        <v>0</v>
      </c>
      <c r="D9" s="24"/>
      <c r="E9" s="24"/>
      <c r="F9" s="24"/>
      <c r="G9" s="24"/>
      <c r="H9" s="24"/>
      <c r="I9" s="24">
        <f>LN(1+C9)</f>
        <v>0</v>
      </c>
      <c r="J9" s="24"/>
      <c r="K9" s="24"/>
      <c r="L9" s="24"/>
      <c r="M9" s="24"/>
      <c r="N9" s="25"/>
    </row>
    <row r="10" spans="1:14" ht="13.5" thickTop="1" x14ac:dyDescent="0.2"/>
    <row r="12" spans="1:14" x14ac:dyDescent="0.2">
      <c r="A12" t="s">
        <v>49</v>
      </c>
      <c r="C12">
        <v>100</v>
      </c>
    </row>
    <row r="13" spans="1:14" x14ac:dyDescent="0.2">
      <c r="A13" t="s">
        <v>46</v>
      </c>
      <c r="C13">
        <v>3</v>
      </c>
    </row>
    <row r="14" spans="1:14" x14ac:dyDescent="0.2">
      <c r="A14" t="s">
        <v>50</v>
      </c>
      <c r="C14">
        <f>C12-C13</f>
        <v>97</v>
      </c>
    </row>
    <row r="16" spans="1:14" x14ac:dyDescent="0.2">
      <c r="A16" t="s">
        <v>47</v>
      </c>
      <c r="C16" s="26">
        <f>F4</f>
        <v>3.2350985053231724</v>
      </c>
    </row>
    <row r="17" spans="1:3" x14ac:dyDescent="0.2">
      <c r="A17" t="s">
        <v>48</v>
      </c>
      <c r="C17" s="26">
        <f>C12-C6</f>
        <v>0</v>
      </c>
    </row>
    <row r="19" spans="1:3" x14ac:dyDescent="0.2">
      <c r="A19" t="s">
        <v>51</v>
      </c>
      <c r="C19" s="26">
        <f>C17-C16</f>
        <v>-3.2350985053231724</v>
      </c>
    </row>
    <row r="20" spans="1:3" ht="13.5" thickBot="1" x14ac:dyDescent="0.25"/>
    <row r="21" spans="1:3" ht="13.5" thickBot="1" x14ac:dyDescent="0.25">
      <c r="C21" s="44" t="str">
        <f>IF(C19&gt;0,"Exercise now","Don't exercise early")</f>
        <v>Don't exercise early</v>
      </c>
    </row>
  </sheetData>
  <phoneticPr fontId="8" type="noConversion"/>
  <pageMargins left="0.75" right="0.75" top="1" bottom="1" header="0.5" footer="0.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Optcalc template</vt:lpstr>
      <vt:lpstr>one-way table</vt:lpstr>
      <vt:lpstr>2-way</vt:lpstr>
      <vt:lpstr>Option portfolio</vt:lpstr>
      <vt:lpstr>American call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sfiglews</cp:lastModifiedBy>
  <dcterms:created xsi:type="dcterms:W3CDTF">2002-11-07T22:26:22Z</dcterms:created>
  <dcterms:modified xsi:type="dcterms:W3CDTF">2018-04-17T17:56:16Z</dcterms:modified>
</cp:coreProperties>
</file>